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D:\00 SAR 2568 การพัฒนาสังคม\SROi\รูปเล่ม รายงาน\"/>
    </mc:Choice>
  </mc:AlternateContent>
  <xr:revisionPtr revIDLastSave="0" documentId="13_ncr:1_{28628D82-6033-458A-AD71-3FF5274D156F}" xr6:coauthVersionLast="47" xr6:coauthVersionMax="47" xr10:uidLastSave="{00000000-0000-0000-0000-000000000000}"/>
  <bookViews>
    <workbookView xWindow="-120" yWindow="-120" windowWidth="29040" windowHeight="15720" activeTab="3" xr2:uid="{00000000-000D-0000-FFFF-FFFF00000000}"/>
  </bookViews>
  <sheets>
    <sheet name="guidance" sheetId="3" r:id="rId1"/>
    <sheet name="scope" sheetId="2" r:id="rId2"/>
    <sheet name="SM" sheetId="4" r:id="rId3"/>
    <sheet name="impact map" sheetId="1" r:id="rId4"/>
    <sheet name="Sheet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 i="5" l="1"/>
  <c r="N21" i="5"/>
  <c r="N22" i="5"/>
  <c r="N23" i="5"/>
  <c r="N24" i="5"/>
  <c r="N25" i="5"/>
  <c r="O8" i="5"/>
  <c r="N8" i="5"/>
  <c r="M8" i="5"/>
  <c r="L8" i="5"/>
  <c r="K8" i="5"/>
  <c r="J8" i="5"/>
  <c r="O7" i="5"/>
  <c r="N7" i="5"/>
  <c r="M7" i="5"/>
  <c r="L7" i="5"/>
  <c r="K7" i="5"/>
  <c r="J7" i="5"/>
  <c r="O6" i="5"/>
  <c r="N6" i="5"/>
  <c r="M6" i="5"/>
  <c r="L6" i="5"/>
  <c r="K6" i="5"/>
  <c r="J6" i="5"/>
  <c r="O5" i="5"/>
  <c r="N5" i="5"/>
  <c r="M5" i="5"/>
  <c r="L5" i="5"/>
  <c r="K5" i="5"/>
  <c r="J5" i="5"/>
  <c r="O4" i="5"/>
  <c r="N4" i="5"/>
  <c r="M4" i="5"/>
  <c r="L4" i="5"/>
  <c r="K4" i="5"/>
  <c r="J4" i="5"/>
  <c r="O3" i="5"/>
  <c r="N3" i="5"/>
  <c r="M3" i="5"/>
  <c r="L3" i="5"/>
  <c r="K3" i="5"/>
  <c r="J3" i="5"/>
  <c r="M9" i="1"/>
  <c r="D11" i="1"/>
  <c r="D14" i="1"/>
  <c r="D13" i="1"/>
  <c r="D12" i="1"/>
  <c r="D10" i="1"/>
  <c r="D9" i="1"/>
  <c r="M28" i="1" l="1"/>
  <c r="S23" i="1"/>
  <c r="AB23" i="1" s="1"/>
  <c r="U23" i="1" s="1"/>
  <c r="S28" i="1"/>
  <c r="AB28" i="1" s="1"/>
  <c r="V28" i="1" s="1"/>
  <c r="U28" i="1"/>
  <c r="W5" i="1"/>
  <c r="S27" i="1"/>
  <c r="S26" i="1"/>
  <c r="U27" i="1"/>
  <c r="S22" i="1"/>
  <c r="S24" i="1"/>
  <c r="AB24" i="1" s="1"/>
  <c r="V24" i="1" s="1"/>
  <c r="S20" i="1"/>
  <c r="U24" i="1"/>
  <c r="AC23" i="1" l="1"/>
  <c r="AD23" i="1" s="1"/>
  <c r="W23" i="1" s="1"/>
  <c r="AC24" i="1"/>
  <c r="AD24" i="1" s="1"/>
  <c r="AE24" i="1" s="1"/>
  <c r="X24" i="1" s="1"/>
  <c r="AE23" i="1"/>
  <c r="X23" i="1" s="1"/>
  <c r="AF23" i="1"/>
  <c r="V23" i="1"/>
  <c r="AC28" i="1"/>
  <c r="AD28" i="1" s="1"/>
  <c r="AE28" i="1" s="1"/>
  <c r="X28" i="1" s="1"/>
  <c r="AC27" i="1"/>
  <c r="AD27" i="1" s="1"/>
  <c r="W27" i="1" s="1"/>
  <c r="AB27" i="1"/>
  <c r="V27" i="1" s="1"/>
  <c r="AF24" i="1"/>
  <c r="W24" i="1"/>
  <c r="AF28" i="1" l="1"/>
  <c r="AF27" i="1"/>
  <c r="Y27" i="1" s="1"/>
  <c r="Y23" i="1"/>
  <c r="AG23" i="1"/>
  <c r="Z23" i="1" s="1"/>
  <c r="W28" i="1"/>
  <c r="AG28" i="1"/>
  <c r="Z28" i="1" s="1"/>
  <c r="Y28" i="1"/>
  <c r="AE27" i="1"/>
  <c r="X27" i="1" s="1"/>
  <c r="Y24" i="1"/>
  <c r="AG24" i="1"/>
  <c r="Z24" i="1" s="1"/>
  <c r="AG27" i="1" l="1"/>
  <c r="Z27" i="1" s="1"/>
  <c r="U26" i="1"/>
  <c r="AB26" i="1"/>
  <c r="V26" i="1" s="1"/>
  <c r="M25" i="1"/>
  <c r="S21" i="1"/>
  <c r="S16" i="1"/>
  <c r="AB16" i="1" s="1"/>
  <c r="V16" i="1" s="1"/>
  <c r="S15" i="1"/>
  <c r="AB15" i="1" s="1"/>
  <c r="S13" i="1"/>
  <c r="AB13" i="1" s="1"/>
  <c r="S14" i="1"/>
  <c r="AB14" i="1" s="1"/>
  <c r="S12" i="1"/>
  <c r="AB12" i="1" s="1"/>
  <c r="U12" i="1" s="1"/>
  <c r="U9" i="1"/>
  <c r="S9" i="1"/>
  <c r="U16" i="1"/>
  <c r="S17" i="1"/>
  <c r="AB17" i="1" s="1"/>
  <c r="U17" i="1" s="1"/>
  <c r="S18" i="1"/>
  <c r="AB18" i="1" s="1"/>
  <c r="V18" i="1" s="1"/>
  <c r="U18" i="1"/>
  <c r="S10" i="1"/>
  <c r="AB10" i="1" s="1"/>
  <c r="U10" i="1" s="1"/>
  <c r="U13" i="1"/>
  <c r="S11" i="1" l="1"/>
  <c r="AB11" i="1" s="1"/>
  <c r="AC26" i="1"/>
  <c r="AD26" i="1" s="1"/>
  <c r="AC16" i="1"/>
  <c r="AD16" i="1" s="1"/>
  <c r="W16" i="1" s="1"/>
  <c r="AC18" i="1"/>
  <c r="AD18" i="1" s="1"/>
  <c r="W18" i="1" s="1"/>
  <c r="AC12" i="1"/>
  <c r="AD12" i="1" s="1"/>
  <c r="W12" i="1" s="1"/>
  <c r="AB9" i="1"/>
  <c r="V9" i="1" s="1"/>
  <c r="AC9" i="1"/>
  <c r="AD9" i="1" s="1"/>
  <c r="W9" i="1" s="1"/>
  <c r="AC13" i="1"/>
  <c r="AD13" i="1" s="1"/>
  <c r="W13" i="1" s="1"/>
  <c r="AC17" i="1"/>
  <c r="AD17" i="1" s="1"/>
  <c r="W17" i="1" s="1"/>
  <c r="U15" i="1"/>
  <c r="AC15" i="1"/>
  <c r="V13" i="1"/>
  <c r="AC14" i="1"/>
  <c r="AD14" i="1" s="1"/>
  <c r="AE14" i="1" s="1"/>
  <c r="U14" i="1"/>
  <c r="V12" i="1"/>
  <c r="U11" i="1"/>
  <c r="AC10" i="1"/>
  <c r="V10" i="1" s="1"/>
  <c r="U29" i="1"/>
  <c r="U25" i="1"/>
  <c r="U22" i="1"/>
  <c r="U21" i="1"/>
  <c r="S19" i="1"/>
  <c r="AB19" i="1" s="1"/>
  <c r="AB20" i="1"/>
  <c r="AB21" i="1"/>
  <c r="V21" i="1" s="1"/>
  <c r="AB22" i="1"/>
  <c r="V22" i="1" s="1"/>
  <c r="S25" i="1"/>
  <c r="AB25" i="1" s="1"/>
  <c r="V25" i="1" s="1"/>
  <c r="S29" i="1"/>
  <c r="AB29" i="1" s="1"/>
  <c r="V29" i="1" s="1"/>
  <c r="D33" i="1"/>
  <c r="AC11" i="1" l="1"/>
  <c r="AD11" i="1" s="1"/>
  <c r="W11" i="1" s="1"/>
  <c r="AE16" i="1"/>
  <c r="X16" i="1" s="1"/>
  <c r="AC25" i="1"/>
  <c r="AD25" i="1" s="1"/>
  <c r="W25" i="1" s="1"/>
  <c r="AC29" i="1"/>
  <c r="AD29" i="1" s="1"/>
  <c r="W26" i="1"/>
  <c r="AE26" i="1"/>
  <c r="X26" i="1" s="1"/>
  <c r="AF26" i="1"/>
  <c r="AE9" i="1"/>
  <c r="AF9" i="1" s="1"/>
  <c r="AE18" i="1"/>
  <c r="X18" i="1" s="1"/>
  <c r="AE25" i="1"/>
  <c r="X25" i="1" s="1"/>
  <c r="AF25" i="1"/>
  <c r="AE12" i="1"/>
  <c r="X12" i="1" s="1"/>
  <c r="AC22" i="1"/>
  <c r="AD22" i="1" s="1"/>
  <c r="AE22" i="1" s="1"/>
  <c r="X22" i="1" s="1"/>
  <c r="AC21" i="1"/>
  <c r="AD21" i="1" s="1"/>
  <c r="AF21" i="1" s="1"/>
  <c r="AF16" i="1"/>
  <c r="V15" i="1"/>
  <c r="AD15" i="1"/>
  <c r="AE13" i="1"/>
  <c r="X13" i="1" s="1"/>
  <c r="AE17" i="1"/>
  <c r="X17" i="1" s="1"/>
  <c r="V17" i="1"/>
  <c r="AF17" i="1"/>
  <c r="W14" i="1"/>
  <c r="V14" i="1"/>
  <c r="X14" i="1"/>
  <c r="AF14" i="1"/>
  <c r="AD10" i="1"/>
  <c r="W10" i="1" s="1"/>
  <c r="V11" i="1"/>
  <c r="U20" i="1"/>
  <c r="U19" i="1"/>
  <c r="AC20" i="1"/>
  <c r="AD20" i="1" s="1"/>
  <c r="AC19" i="1"/>
  <c r="S31" i="1"/>
  <c r="AE11" i="1" l="1"/>
  <c r="X11" i="1" s="1"/>
  <c r="AF18" i="1"/>
  <c r="Y18" i="1" s="1"/>
  <c r="X9" i="1"/>
  <c r="Y26" i="1"/>
  <c r="AG26" i="1"/>
  <c r="Z26" i="1" s="1"/>
  <c r="W29" i="1"/>
  <c r="AE29" i="1"/>
  <c r="X29" i="1" s="1"/>
  <c r="AF29" i="1"/>
  <c r="W22" i="1"/>
  <c r="AF22" i="1"/>
  <c r="Y22" i="1" s="1"/>
  <c r="AF13" i="1"/>
  <c r="Y13" i="1" s="1"/>
  <c r="AF12" i="1"/>
  <c r="Y12" i="1" s="1"/>
  <c r="Y25" i="1"/>
  <c r="AG25" i="1"/>
  <c r="Z25" i="1" s="1"/>
  <c r="W21" i="1"/>
  <c r="AE21" i="1"/>
  <c r="X21" i="1" s="1"/>
  <c r="Y21" i="1"/>
  <c r="AG21" i="1"/>
  <c r="Z21" i="1" s="1"/>
  <c r="Y16" i="1"/>
  <c r="AG16" i="1"/>
  <c r="Z16" i="1" s="1"/>
  <c r="W15" i="1"/>
  <c r="AE15" i="1"/>
  <c r="Y9" i="1"/>
  <c r="AG9" i="1"/>
  <c r="Z9" i="1" s="1"/>
  <c r="V19" i="1"/>
  <c r="AD19" i="1"/>
  <c r="Y17" i="1"/>
  <c r="AG17" i="1"/>
  <c r="Z17" i="1" s="1"/>
  <c r="AE10" i="1"/>
  <c r="Y14" i="1"/>
  <c r="AG14" i="1"/>
  <c r="Z14" i="1" s="1"/>
  <c r="V20" i="1"/>
  <c r="W20" i="1"/>
  <c r="AE20" i="1"/>
  <c r="U31" i="1"/>
  <c r="U33" i="1" s="1"/>
  <c r="AF11" i="1" l="1"/>
  <c r="Y11" i="1" s="1"/>
  <c r="AG13" i="1"/>
  <c r="Z13" i="1" s="1"/>
  <c r="AG18" i="1"/>
  <c r="Z18" i="1" s="1"/>
  <c r="X20" i="1"/>
  <c r="AF20" i="1"/>
  <c r="AG20" i="1" s="1"/>
  <c r="Z20" i="1" s="1"/>
  <c r="Y29" i="1"/>
  <c r="AG29" i="1"/>
  <c r="Z29" i="1" s="1"/>
  <c r="AG22" i="1"/>
  <c r="Z22" i="1" s="1"/>
  <c r="AG12" i="1"/>
  <c r="Z12" i="1" s="1"/>
  <c r="X15" i="1"/>
  <c r="AF15" i="1"/>
  <c r="X10" i="1"/>
  <c r="AF10" i="1"/>
  <c r="W19" i="1"/>
  <c r="W31" i="1" s="1"/>
  <c r="W33" i="1" s="1"/>
  <c r="AE19" i="1"/>
  <c r="V31" i="1"/>
  <c r="V33" i="1" s="1"/>
  <c r="AG11" i="1" l="1"/>
  <c r="Z11" i="1" s="1"/>
  <c r="Y20" i="1"/>
  <c r="X19" i="1"/>
  <c r="X31" i="1" s="1"/>
  <c r="X33" i="1" s="1"/>
  <c r="AF19" i="1"/>
  <c r="Y15" i="1"/>
  <c r="AG15" i="1"/>
  <c r="Z15" i="1" s="1"/>
  <c r="Y10" i="1"/>
  <c r="AG10" i="1"/>
  <c r="Z10" i="1" s="1"/>
  <c r="AG19" i="1" l="1"/>
  <c r="Z19" i="1" s="1"/>
  <c r="Z31" i="1" s="1"/>
  <c r="Z33" i="1" s="1"/>
  <c r="Y19" i="1"/>
  <c r="Y31" i="1" s="1"/>
  <c r="Y33" i="1" s="1"/>
  <c r="Z34" i="1" l="1"/>
  <c r="Z35" i="1" s="1"/>
  <c r="Z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TOSSAPOND KEWPRASOPSAK</author>
  </authors>
  <commentList>
    <comment ref="W5" authorId="0" shapeId="0" xr:uid="{6443AED6-04E7-BB4D-95AD-E4CD4AB403F5}">
      <text>
        <r>
          <rPr>
            <b/>
            <sz val="10"/>
            <color rgb="FF000000"/>
            <rFont val="Tahoma"/>
            <family val="2"/>
          </rPr>
          <t>TOSSAPOND KEWPRASOPSAK:</t>
        </r>
        <r>
          <rPr>
            <sz val="10"/>
            <color rgb="FF000000"/>
            <rFont val="Tahoma"/>
            <family val="2"/>
          </rPr>
          <t>ROE SCG 61-64
https://www.set.or.th/th/market/product/stock/quote/SCG/financial-statement/company-highlights</t>
        </r>
      </text>
    </comment>
    <comment ref="N15" authorId="0" shapeId="0" xr:uid="{FDF7B22E-A5F4-A54A-8345-D0FF451F94FE}">
      <text>
        <r>
          <rPr>
            <b/>
            <sz val="10"/>
            <color rgb="FF000000"/>
            <rFont val="Tahoma"/>
            <family val="2"/>
          </rPr>
          <t>TOSSAPOND KEWPRASOPSAK:</t>
        </r>
        <r>
          <rPr>
            <sz val="10"/>
            <color rgb="FF000000"/>
            <rFont val="Tahoma"/>
            <family val="2"/>
          </rPr>
          <t xml:space="preserve">
</t>
        </r>
        <r>
          <rPr>
            <sz val="10"/>
            <color rgb="FF000000"/>
            <rFont val="Tahoma"/>
            <family val="2"/>
          </rPr>
          <t>https://www.namsaetrading2012.com/</t>
        </r>
        <r>
          <rPr>
            <sz val="10"/>
            <color rgb="FF000000"/>
            <rFont val="Tahoma"/>
            <family val="2"/>
          </rPr>
          <t>รายละเอียด/สูตรคำนวณ_</t>
        </r>
        <r>
          <rPr>
            <sz val="10"/>
            <color rgb="FF000000"/>
            <rFont val="Tahoma"/>
            <family val="2"/>
          </rPr>
          <t>Und_</t>
        </r>
        <r>
          <rPr>
            <sz val="10"/>
            <color rgb="FF000000"/>
            <rFont val="Tahoma"/>
            <family val="2"/>
          </rPr>
          <t>ค่าไฟฟ้าและปั๊มหอยโข่งไฟฟ้า</t>
        </r>
        <r>
          <rPr>
            <sz val="10"/>
            <color rgb="FF000000"/>
            <rFont val="Tahoma"/>
            <family val="2"/>
          </rPr>
          <t xml:space="preserve">
</t>
        </r>
      </text>
    </comment>
    <comment ref="M18" authorId="0" shapeId="0" xr:uid="{440EE1B9-2B20-4141-83BC-C92ABA90FF28}">
      <text>
        <r>
          <rPr>
            <b/>
            <sz val="10"/>
            <color rgb="FF000000"/>
            <rFont val="Tahoma"/>
            <family val="2"/>
          </rPr>
          <t>TOSSAPOND KEWPRASOPSAK:</t>
        </r>
        <r>
          <rPr>
            <sz val="10"/>
            <color rgb="FF000000"/>
            <rFont val="Tahoma"/>
            <family val="2"/>
          </rPr>
          <t xml:space="preserve">
</t>
        </r>
        <r>
          <rPr>
            <sz val="10"/>
            <color rgb="FF000000"/>
            <rFont val="Tahoma"/>
            <family val="2"/>
          </rPr>
          <t xml:space="preserve">สมมติ
</t>
        </r>
      </text>
    </comment>
    <comment ref="Q19" authorId="0" shapeId="0" xr:uid="{2EF05258-2C00-EB42-80F5-04C058ABC5A9}">
      <text>
        <r>
          <rPr>
            <b/>
            <sz val="10"/>
            <color rgb="FF000000"/>
            <rFont val="Tahoma"/>
            <family val="2"/>
          </rPr>
          <t>TOSSAPOND KEWPRASOPSAK:</t>
        </r>
        <r>
          <rPr>
            <sz val="10"/>
            <color rgb="FF000000"/>
            <rFont val="Tahoma"/>
            <family val="2"/>
          </rPr>
          <t xml:space="preserve">ถามเพิ่ม
</t>
        </r>
      </text>
    </comment>
    <comment ref="F27" authorId="0" shapeId="0" xr:uid="{A93E968A-E4E0-BB48-9E08-F2F5771A6936}">
      <text>
        <r>
          <rPr>
            <b/>
            <sz val="10"/>
            <color rgb="FF000000"/>
            <rFont val="Tahoma"/>
            <family val="2"/>
          </rPr>
          <t>TOSSAPOND KEWPRASOPSAK:</t>
        </r>
        <r>
          <rPr>
            <sz val="10"/>
            <color rgb="FF000000"/>
            <rFont val="Tahoma"/>
            <family val="2"/>
          </rPr>
          <t xml:space="preserve">
</t>
        </r>
        <r>
          <rPr>
            <sz val="10"/>
            <color rgb="FF000000"/>
            <rFont val="Tahoma"/>
            <family val="2"/>
          </rPr>
          <t>https://www.egat.co.th/home/20220129-pre01/</t>
        </r>
      </text>
    </comment>
    <comment ref="H27" authorId="0" shapeId="0" xr:uid="{66B3162D-816F-D648-8C82-ABA672893DFD}">
      <text>
        <r>
          <rPr>
            <b/>
            <sz val="10"/>
            <color rgb="FF000000"/>
            <rFont val="Tahoma"/>
            <family val="2"/>
          </rPr>
          <t>TOSSAPOND KEWPRASOPSAK:</t>
        </r>
        <r>
          <rPr>
            <sz val="10"/>
            <color rgb="FF000000"/>
            <rFont val="Tahoma"/>
            <family val="2"/>
          </rPr>
          <t xml:space="preserve">
</t>
        </r>
        <r>
          <rPr>
            <sz val="10"/>
            <color rgb="FF000000"/>
            <rFont val="Tahoma"/>
            <family val="2"/>
          </rPr>
          <t>https://www.ratch.co.th/en/csr-activity/4846/</t>
        </r>
        <r>
          <rPr>
            <sz val="10"/>
            <color rgb="FF000000"/>
            <rFont val="Tahoma"/>
            <family val="2"/>
          </rPr>
          <t>โครงการปลูกป่าต้นน้ำสร้างแหล่งกักเก็บคาร์บอน-อำเภอปัว-จังหวัดน่าน</t>
        </r>
      </text>
    </comment>
    <comment ref="N27" authorId="0" shapeId="0" xr:uid="{11A31C6F-8E75-CF4D-B5E7-23FE7B1CACBE}">
      <text>
        <r>
          <rPr>
            <b/>
            <sz val="10"/>
            <color rgb="FF000000"/>
            <rFont val="Tahoma"/>
            <family val="2"/>
          </rPr>
          <t>TOSSAPOND KEWPRASOPSAK:</t>
        </r>
        <r>
          <rPr>
            <sz val="10"/>
            <color rgb="FF000000"/>
            <rFont val="Tahoma"/>
            <family val="2"/>
          </rPr>
          <t xml:space="preserve">
</t>
        </r>
        <r>
          <rPr>
            <sz val="10"/>
            <color rgb="FF000000"/>
            <rFont val="Tahoma"/>
            <family val="2"/>
          </rPr>
          <t>http://carbonmarket.tgo.or.th/index.php?lang=TH&amp;mod=Y2hhcnQ=&amp;action=bGlzdA==</t>
        </r>
      </text>
    </comment>
  </commentList>
</comments>
</file>

<file path=xl/sharedStrings.xml><?xml version="1.0" encoding="utf-8"?>
<sst xmlns="http://schemas.openxmlformats.org/spreadsheetml/2006/main" count="234" uniqueCount="204">
  <si>
    <t>Impact</t>
  </si>
  <si>
    <t>Description</t>
  </si>
  <si>
    <t>Indicator</t>
  </si>
  <si>
    <t>Source</t>
  </si>
  <si>
    <t>Duration</t>
  </si>
  <si>
    <t>Quantity</t>
  </si>
  <si>
    <t xml:space="preserve">    Calculating Social Return</t>
  </si>
  <si>
    <t>Total</t>
  </si>
  <si>
    <t>Present value of each year</t>
  </si>
  <si>
    <t>Total Present Value (PV)</t>
  </si>
  <si>
    <t>Year 1</t>
  </si>
  <si>
    <t>Year 2</t>
  </si>
  <si>
    <t>Year 3</t>
  </si>
  <si>
    <t>Year 4</t>
  </si>
  <si>
    <t>Year 5</t>
  </si>
  <si>
    <t>Organisation</t>
  </si>
  <si>
    <t>Objectives</t>
  </si>
  <si>
    <t>Scope</t>
  </si>
  <si>
    <t>Activity</t>
  </si>
  <si>
    <t>Contract/Funding/ Part of org’</t>
  </si>
  <si>
    <t>Date</t>
  </si>
  <si>
    <t>Name</t>
  </si>
  <si>
    <t>Attribution      %</t>
  </si>
  <si>
    <t>Displacement      %</t>
  </si>
  <si>
    <t>Deadweight      %</t>
  </si>
  <si>
    <t>Drop off         %</t>
  </si>
  <si>
    <t>Who else contributed to  the change?</t>
  </si>
  <si>
    <t>What activity did you displace?</t>
  </si>
  <si>
    <t>Does the outcome drop off in future years?</t>
  </si>
  <si>
    <t xml:space="preserve"> SROI Network</t>
  </si>
  <si>
    <t xml:space="preserve">Spreadsheet for developing SROI analysis.  Only to by used as part of SROI Network training. The spreadsheet does not include any guidance </t>
  </si>
  <si>
    <t>Social Return on Investment - The Impact Map</t>
  </si>
  <si>
    <t>Time Period</t>
  </si>
  <si>
    <t>Forecast or Evaluation</t>
  </si>
  <si>
    <t>Purpose of Analysis</t>
  </si>
  <si>
    <t>Objective of Activity</t>
  </si>
  <si>
    <t>Stage 1</t>
  </si>
  <si>
    <t>Stage 2</t>
  </si>
  <si>
    <t>Stage 3</t>
  </si>
  <si>
    <t>Stage 4</t>
  </si>
  <si>
    <t>Financial Proxy</t>
  </si>
  <si>
    <t xml:space="preserve">  Discount rate</t>
  </si>
  <si>
    <t>What do you think will change for them?</t>
  </si>
  <si>
    <t>What do they invest?</t>
  </si>
  <si>
    <t>Summary of activity in numbers</t>
  </si>
  <si>
    <t>How would you measure it?</t>
  </si>
  <si>
    <t>Where did you get the information from?</t>
  </si>
  <si>
    <t>How much change was there?</t>
  </si>
  <si>
    <t>What proxy would you use to value the change?</t>
  </si>
  <si>
    <t>What would have happened without the activity?</t>
  </si>
  <si>
    <t>Quantity times financial proxy, less deadweight,displacement and attribution</t>
  </si>
  <si>
    <t xml:space="preserve">Net Present Value </t>
  </si>
  <si>
    <t>(PV minus the investment)</t>
  </si>
  <si>
    <t xml:space="preserve">Social Return </t>
  </si>
  <si>
    <t>Who do we have an affect on?                          Who has an effect on us?</t>
  </si>
  <si>
    <t>How would the stakeholder describe the changes?</t>
  </si>
  <si>
    <r>
      <t>What is the value of the change? (</t>
    </r>
    <r>
      <rPr>
        <i/>
        <sz val="10"/>
        <rFont val="Arial"/>
        <family val="2"/>
      </rPr>
      <t>Only enter numbers)</t>
    </r>
  </si>
  <si>
    <r>
      <t xml:space="preserve">What is the value of the inputs in currency </t>
    </r>
    <r>
      <rPr>
        <i/>
        <sz val="10"/>
        <rFont val="Arial"/>
        <family val="2"/>
      </rPr>
      <t>(only enter numbers)</t>
    </r>
  </si>
  <si>
    <t>Value in currency</t>
  </si>
  <si>
    <t>Guide for using the SROI Network spreadsheet</t>
  </si>
  <si>
    <t xml:space="preserve">The spreadsheet has not been protected in order to provide users with some flexibility. Great care should be taken in making any changes to ensure the integrity of the calculations. It is the responsibility of the user to ensure that any changes do not effect the integrity of the calculations. In particular </t>
  </si>
  <si>
    <r>
      <t>·</t>
    </r>
    <r>
      <rPr>
        <sz val="7"/>
        <rFont val="Times New Roman"/>
        <family val="1"/>
      </rPr>
      <t xml:space="preserve">         </t>
    </r>
    <r>
      <rPr>
        <sz val="11"/>
        <rFont val="Calibri"/>
        <family val="2"/>
      </rPr>
      <t>new columns should not be added</t>
    </r>
  </si>
  <si>
    <r>
      <t>·</t>
    </r>
    <r>
      <rPr>
        <sz val="7"/>
        <rFont val="Times New Roman"/>
        <family val="1"/>
      </rPr>
      <t xml:space="preserve">         </t>
    </r>
    <r>
      <rPr>
        <sz val="11"/>
        <rFont val="Calibri"/>
        <family val="2"/>
      </rPr>
      <t>additional rows can be added to accommodate new stakeholders but the equations in an existing row will need to be copied into any new rows</t>
    </r>
  </si>
  <si>
    <r>
      <t>·</t>
    </r>
    <r>
      <rPr>
        <sz val="7"/>
        <rFont val="Times New Roman"/>
        <family val="1"/>
      </rPr>
      <t xml:space="preserve">         </t>
    </r>
    <r>
      <rPr>
        <sz val="11"/>
        <rFont val="Calibri"/>
        <family val="2"/>
      </rPr>
      <t>no changes should be made to cells containing formulae</t>
    </r>
  </si>
  <si>
    <t>Column – Inputs, What is the value of the inputs in currency</t>
  </si>
  <si>
    <t xml:space="preserve">Cells in this column should only be filled in with number. Do not include the currency sign, for example £  </t>
  </si>
  <si>
    <t>Column – Outcomes, quantity</t>
  </si>
  <si>
    <t>Cells in this column should only be filled in with a number. Do not include text.</t>
  </si>
  <si>
    <t>Column – Outcomes, duration</t>
  </si>
  <si>
    <t xml:space="preserve">Cells in this column should only be filled in with a whole number. Do not include text, for example ‘years’. The spreadsheet has been designed on the basis that the duration will be in years and has restricted this to a maximum of 5. If more than 5 is entered the calculation will be based on 5 years. </t>
  </si>
  <si>
    <t xml:space="preserve">Column – Outcomes, value </t>
  </si>
  <si>
    <t>Cells in this column should only be filled in with numbers for example ‘4.25’.</t>
  </si>
  <si>
    <t>Columns in Stage 4</t>
  </si>
  <si>
    <t>Cells in these columns should only be filled in with numbers between 0 and 100.</t>
  </si>
  <si>
    <t>Calculating social return</t>
  </si>
  <si>
    <t xml:space="preserve">Apart from the cell to the right of the discount rate, nothing should be entered into cells in these columns. </t>
  </si>
  <si>
    <t>The spreadsheet analyses the value of the investment in one period (for example one year) and is not designed for analysis of capital projects where the financial returns from an investment arise over several years, each year generating benefits</t>
  </si>
  <si>
    <t>The spreadsheet has been designed to follow the methodology in the SROI Guide published by the Cabinet Office 2009. It is recommended that the Guide is read before using the spreadsheet. It is the responsibility of the user to ensure that the spreadsheet is completed correctly in accordance with the requirements of the SROI Guide.</t>
  </si>
  <si>
    <t>There is no support for this spreadsheet as a free download and the guidance below is not  designed to be a work book. Support and training are available from the SROI Network.</t>
  </si>
  <si>
    <t>Discount rate</t>
  </si>
  <si>
    <t>Outcomes are assumed to occur after the activity and to occur at the end of the period. If the duration of the outcomes is 1 year, then the value of the outcomes will be discounted by one year.</t>
  </si>
  <si>
    <t>If you have outcomes that occur during the activity and last for one year afterwards, then, as above, the outcomes that last for one year after will be discounted by two years.</t>
  </si>
  <si>
    <t>The duration of outcomes is limited to 5 years</t>
  </si>
  <si>
    <t>Year 0</t>
  </si>
  <si>
    <t>Does it start in period of activity (1) or in period after (2)</t>
  </si>
  <si>
    <r>
      <t>How long does it last after end of activity? (</t>
    </r>
    <r>
      <rPr>
        <i/>
        <sz val="10"/>
        <rFont val="Arial"/>
        <family val="2"/>
      </rPr>
      <t>Only enter numbers)</t>
    </r>
  </si>
  <si>
    <t>Column - Outcomes start</t>
  </si>
  <si>
    <t>This column should be completed with a '1' if the outcomes start in the period of the activity and a '2' if the outcomes start in the first year after the activity</t>
  </si>
  <si>
    <t>This spreadsheet is not designed to deal with outcomes that start more than one year after the activity</t>
  </si>
  <si>
    <t>The earlier version of the SROI Network spreadsheet did not include this option. To obtain the same result in both version 1.1 and 1.2 set this at '2'</t>
  </si>
  <si>
    <t xml:space="preserve">The spreadsheet will not be applicable in all situations. In particular it is not designed to deal with captial projects, more complex systems or outcomes that start more than one year after the activity. This is not an exclusive list. </t>
  </si>
  <si>
    <t>Outcomes start</t>
  </si>
  <si>
    <t>Value per amount invested</t>
  </si>
  <si>
    <t>1. General</t>
  </si>
  <si>
    <t>2. Structure</t>
  </si>
  <si>
    <t>3. Specifics</t>
  </si>
  <si>
    <t>As a result if you have outcomes that occur during the activity, they will be discounted by one year for valuation purposes.</t>
  </si>
  <si>
    <t>SCG</t>
  </si>
  <si>
    <t>stakholder</t>
  </si>
  <si>
    <t>input</t>
  </si>
  <si>
    <t>activities</t>
  </si>
  <si>
    <t>output</t>
  </si>
  <si>
    <t>outcome</t>
  </si>
  <si>
    <t>ให้ใช้พื้นที่</t>
  </si>
  <si>
    <t>ขุดบ่อ วางท่อ</t>
  </si>
  <si>
    <t>เวลาที่ใช้ประชุม</t>
  </si>
  <si>
    <t>ค่าเสียโอกาสในการใช้พื้นที่</t>
  </si>
  <si>
    <t>บ่อพวง 9 บ่อ</t>
  </si>
  <si>
    <t>ระบบการจัดการน้ำ 1 ระบบ</t>
  </si>
  <si>
    <t>มีรายได้เพิ่ม</t>
  </si>
  <si>
    <t>มีสุขภาพดีขึ้น</t>
  </si>
  <si>
    <t>มีความสุขในครอบครัวได้กลับมาอยู่บ้าน</t>
  </si>
  <si>
    <t>มีทักษะการเป็นผู้นำ</t>
  </si>
  <si>
    <t xml:space="preserve">มีทักษะการจัดการระบบน้ำ/ซ่อมบำรุง </t>
  </si>
  <si>
    <t>ปศุสัตว์</t>
  </si>
  <si>
    <t xml:space="preserve">เกษตรกร ไม้ผล/ </t>
  </si>
  <si>
    <t>ชาวบ้านที่ใช้น้ำประปา</t>
  </si>
  <si>
    <t>มีเวลามากขึ้น</t>
  </si>
  <si>
    <t>มีน้ำใช้ --&gt;ลดต้นทุนในการจัดหาน้ำ</t>
  </si>
  <si>
    <t>เกิดการเกษตรแบบผสมผสาน/เลี้ยงสัตว์</t>
  </si>
  <si>
    <t>จำนวนเกษตรกรที่เข้าร่วมประชุม 30 คน</t>
  </si>
  <si>
    <t>เข้าร่วมประชุมวางแผนจัดการ 2 ครั้ง /อบรม 3 ครั้ง/ดูงาน 1 ครั้ง</t>
  </si>
  <si>
    <t>ร่วมวางท่อ</t>
  </si>
  <si>
    <t>แรงงานขุดบ่อ/เวลาที่ใช้</t>
  </si>
  <si>
    <t>แรงงาน/เวลาที่ใช้</t>
  </si>
  <si>
    <t>ได้เส้นทางลำเลียงน้ำประปาหมู่บ้าน</t>
  </si>
  <si>
    <t>ลดปัญหาการขาดแคลนน้ำในหน้าฝน</t>
  </si>
  <si>
    <t>ประปาหมู่บ้าน</t>
  </si>
  <si>
    <t>-</t>
  </si>
  <si>
    <t>มีแหล่งน้ำดิบสำรอง</t>
  </si>
  <si>
    <t>กำไรเพิ่มขึ้น</t>
  </si>
  <si>
    <t>30 คน</t>
  </si>
  <si>
    <t>280 ครัวเรือน</t>
  </si>
  <si>
    <t>ชุมชน</t>
  </si>
  <si>
    <t>เกิดความขัดแย้งเกี่ยวกับการบริหารจัดการน้ำ</t>
  </si>
  <si>
    <t>ต้นกล้าชุมชนเรน</t>
  </si>
  <si>
    <t xml:space="preserve">งบประมาณโครงการ </t>
  </si>
  <si>
    <t>แนวทาง/รูปแบบในการพัฒนาต้นกล้าชุมชน</t>
  </si>
  <si>
    <t>ภาพลักษณ์ของ scg ในพื้นที่</t>
  </si>
  <si>
    <t>สัมภาษณ์</t>
  </si>
  <si>
    <t>สมมติ</t>
  </si>
  <si>
    <t>ความภาคภูมิใจ</t>
  </si>
  <si>
    <t>อบก</t>
  </si>
  <si>
    <t>ค่ารักษา</t>
  </si>
  <si>
    <t>ผู้มีส่วนได้ส่วนเสีย</t>
  </si>
  <si>
    <t>การเปลี่ยนแปลงที่ตั้งใจและไม่ตั้งใจ</t>
  </si>
  <si>
    <t>ปัจจัยนำเข้า</t>
  </si>
  <si>
    <t>มูลค่าปัจจัย</t>
  </si>
  <si>
    <t>ผลผลิต</t>
  </si>
  <si>
    <t>ผลผลัพธ์ระยะยาว</t>
  </si>
  <si>
    <t>ตัวชี้วัด</t>
  </si>
  <si>
    <t>ที่มา</t>
  </si>
  <si>
    <t>ปริมาณ</t>
  </si>
  <si>
    <t>ระยะเวลา</t>
  </si>
  <si>
    <t>การเริ่มเกิดผลลัพธ์</t>
  </si>
  <si>
    <t>ตัวแทนการเงิน</t>
  </si>
  <si>
    <t>มูลค่าผลลัพธ์</t>
  </si>
  <si>
    <r>
      <t>กลุ่มผลิตภัณฑ์ไม้กวาดดอกหญ้า จำนวน..</t>
    </r>
    <r>
      <rPr>
        <sz val="11"/>
        <color rgb="FFFF0000"/>
        <rFont val="TH SarabunPSK"/>
        <family val="2"/>
      </rPr>
      <t>20</t>
    </r>
    <r>
      <rPr>
        <sz val="14"/>
        <color rgb="FFFF0000"/>
        <rFont val="TH SarabunPSK"/>
        <family val="2"/>
      </rPr>
      <t>....คน</t>
    </r>
  </si>
  <si>
    <t xml:space="preserve">นักศึกษา </t>
  </si>
  <si>
    <t>ผู้บริโภคทั่วไปจำนวน 50 คน</t>
  </si>
  <si>
    <t>หมู่บ้านที่ดำเนินการ ชุมชน</t>
  </si>
  <si>
    <t>ภาคเอกชน ผู้ประกอบการ  (องค์กร)</t>
  </si>
  <si>
    <t>หน่วยงานของภาครัฐที่เกี่ยวข้อง  องค์กร</t>
  </si>
  <si>
    <t>ความรู้ ทักษะ ผลิตภัณฑ์ รายได้ ต้นแบบผลิตภัณฑ์เกินเป้า 3 ชิ้น</t>
  </si>
  <si>
    <t xml:space="preserve">ค่าเสียเวลา </t>
  </si>
  <si>
    <r>
      <t xml:space="preserve">ผู้ที่เข้าร่วมอบรมตามโครงการ จำนวน </t>
    </r>
    <r>
      <rPr>
        <sz val="14"/>
        <color rgb="FFFF0000"/>
        <rFont val="TH SarabunPSK"/>
        <family val="2"/>
      </rPr>
      <t>20</t>
    </r>
    <r>
      <rPr>
        <sz val="14"/>
        <color rgb="FF000000"/>
        <rFont val="TH SarabunPSK"/>
        <family val="2"/>
      </rPr>
      <t xml:space="preserve"> คน / 2 ครั้ง  </t>
    </r>
  </si>
  <si>
    <t>ได้มาตรฐานผลิตภัณฑ์</t>
  </si>
  <si>
    <t>รายได้จากการขายผลิตภัณฑ์</t>
  </si>
  <si>
    <t>ผู้เข้าร่วมอบรม</t>
  </si>
  <si>
    <t>-ได้มาตรฐานผลิตภัณฑ์</t>
  </si>
  <si>
    <t xml:space="preserve">สมาชิกกลุ่ม 20 คน (รายได้จากการขายสินค้า) 5,000 บาท ต่อ คน ต่อ ปี </t>
  </si>
  <si>
    <t>ลดขยะ ย่อยสลาย</t>
  </si>
  <si>
    <t>ค่าเสียเวลา 20 คน *300 บาท *2 วัน</t>
  </si>
  <si>
    <t>ผู้ซื้อ ไม้กวาด 500 อัน * 80 บาท</t>
  </si>
  <si>
    <t>ผู้บริโภคใช้ไม้กวาด 500 อัน</t>
  </si>
  <si>
    <t xml:space="preserve">-ลดขยะ ย่อยสลายง่าย </t>
  </si>
  <si>
    <t xml:space="preserve">จำนวนขยะลดลง </t>
  </si>
  <si>
    <t>การสัมภาษณ์</t>
  </si>
  <si>
    <t>ปริมาณการเก็บขยะลดลงต่อครัวเรือนคิดเป็น (เดือนละ 4 ครั้ง ๆ ละ 20 บาท เป็นเงิน )</t>
  </si>
  <si>
    <t>นำเข้าวัตถุดิบ ดอกหญ้า</t>
  </si>
  <si>
    <t>นำเข้าดอกหญ้าจำนวน 12 กก/ครัวเรือน</t>
  </si>
  <si>
    <t>ชุมชนมีรายได้</t>
  </si>
  <si>
    <t>ความมั่นคงทางเศาษฐกิจ</t>
  </si>
  <si>
    <t>รายได้จากการขายดอกหญ้า</t>
  </si>
  <si>
    <t>ความมั่นคงทางเศรษฐกิจ</t>
  </si>
  <si>
    <t>ชาวบ้าน 20 ครัวเรือน (รายได้จากการขายดอกหญ้า)</t>
  </si>
  <si>
    <t>ส่วนแบ่งทางการตลาด</t>
  </si>
  <si>
    <t>ซื้อไม้กวาด 500 อัน ๆ 80</t>
  </si>
  <si>
    <t>ไม้กวาดดอกหญ้า</t>
  </si>
  <si>
    <t>ส่วนแบ่งทางการตลาด ของธุรกิจจากผลิตภัณฑ์ไม้กวาดก่ำเพิ่มขึ้น</t>
  </si>
  <si>
    <t>ยอดขายของผลิตภัณฑ์ฯ เมื่อเทียบกับคู่แข่ง</t>
  </si>
  <si>
    <t xml:space="preserve">ผู้ประกอบการ 10 ร้านค้า (รายได้จากากการขายไม้กวาด) 10  ร้านค้า x ร้านละ 100 ชิ้น x 80  บาท </t>
  </si>
  <si>
    <t>ความภาคภูมิใจที่ได้สนับสนุนโดย BCG</t>
  </si>
  <si>
    <t>งบประการณการประสานงานค่าต้น่แบบ</t>
  </si>
  <si>
    <t>ได้ A! ได้นโยบาย ได้ตัวชี้วัด การมีส่วนร่วม</t>
  </si>
  <si>
    <t xml:space="preserve">หน่วยงานภาคภูมิใจที่ได้สนับสนุนรายได้โดยใช้หลัก BCG เพิ่มขึ้น </t>
  </si>
  <si>
    <t xml:space="preserve">นโยบาย BCG </t>
  </si>
  <si>
    <t xml:space="preserve">จำนวนโครงการที่ได้รับการสนับสนุน 3 โครงการ ๆ ละ </t>
  </si>
  <si>
    <t>ความรู้ ทักษะ</t>
  </si>
  <si>
    <t>การเป็นผู้ประกอบการ LLL</t>
  </si>
  <si>
    <t>จำนวนนักศึกษาที่อบรม</t>
  </si>
  <si>
    <t xml:space="preserve"> ทักษะ</t>
  </si>
  <si>
    <t>นักศึกษามีทักษะการเป็นผู้ประกอบการจำนวน 5 คน</t>
  </si>
  <si>
    <t>เครือข่าย ความรู้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</si>
</sst>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87" formatCode="_(* #,##0.00_);_(* \(#,##0.00\);_(* &quot;-&quot;??_);_(@_)"/>
    <numFmt numFmtId="188" formatCode="0.0%"/>
    <numFmt numFmtId="189" formatCode="0.0"/>
    <numFmt numFmtId="190" formatCode="&quot;£&quot;#,##0.00"/>
  </numFmts>
  <fonts count="41" x14ac:knownFonts="1">
    <font>
      <sz val="10"/>
      <name val="Arial"/>
    </font>
    <font>
      <sz val="10"/>
      <name val="Arial"/>
      <family val="2"/>
    </font>
    <font>
      <b/>
      <sz val="10"/>
      <name val="Arial"/>
      <family val="2"/>
    </font>
    <font>
      <b/>
      <sz val="12"/>
      <name val="Arial"/>
      <family val="2"/>
    </font>
    <font>
      <sz val="14"/>
      <name val="Arial"/>
      <family val="2"/>
    </font>
    <font>
      <sz val="12"/>
      <name val="Arial"/>
      <family val="2"/>
    </font>
    <font>
      <b/>
      <sz val="12"/>
      <name val="Times New Roman"/>
      <family val="1"/>
    </font>
    <font>
      <sz val="10"/>
      <color theme="0"/>
      <name val="Arial"/>
      <family val="2"/>
    </font>
    <font>
      <sz val="14"/>
      <color theme="0"/>
      <name val="Arial"/>
      <family val="2"/>
    </font>
    <font>
      <sz val="14"/>
      <color rgb="FFFF0000"/>
      <name val="Tahoma"/>
      <family val="2"/>
      <scheme val="minor"/>
    </font>
    <font>
      <b/>
      <sz val="12"/>
      <color theme="0"/>
      <name val="Arial"/>
      <family val="2"/>
    </font>
    <font>
      <sz val="13"/>
      <color rgb="FFFF0000"/>
      <name val="Tahoma"/>
      <family val="2"/>
      <scheme val="minor"/>
    </font>
    <font>
      <b/>
      <sz val="13"/>
      <color theme="0"/>
      <name val="Times New Roman"/>
      <family val="1"/>
    </font>
    <font>
      <b/>
      <sz val="12"/>
      <name val="Tahoma"/>
      <family val="2"/>
      <scheme val="minor"/>
    </font>
    <font>
      <b/>
      <sz val="12"/>
      <color theme="0"/>
      <name val="Times New Roman"/>
      <family val="1"/>
    </font>
    <font>
      <b/>
      <sz val="14"/>
      <color theme="0"/>
      <name val="Arial"/>
      <family val="2"/>
    </font>
    <font>
      <i/>
      <sz val="10"/>
      <name val="Arial"/>
      <family val="2"/>
    </font>
    <font>
      <sz val="11"/>
      <name val="Calibri"/>
      <family val="2"/>
    </font>
    <font>
      <b/>
      <sz val="11"/>
      <name val="Calibri"/>
      <family val="2"/>
    </font>
    <font>
      <sz val="11"/>
      <name val="Symbol"/>
      <family val="1"/>
      <charset val="2"/>
    </font>
    <font>
      <sz val="7"/>
      <name val="Times New Roman"/>
      <family val="1"/>
    </font>
    <font>
      <sz val="12"/>
      <name val="Calibri"/>
      <family val="2"/>
    </font>
    <font>
      <b/>
      <sz val="12"/>
      <name val="Calibri"/>
      <family val="2"/>
    </font>
    <font>
      <b/>
      <sz val="14"/>
      <name val="Calibri"/>
      <family val="2"/>
    </font>
    <font>
      <b/>
      <sz val="16"/>
      <color theme="0"/>
      <name val="Arial"/>
      <family val="2"/>
    </font>
    <font>
      <u/>
      <sz val="10"/>
      <color theme="10"/>
      <name val="Arial"/>
      <family val="2"/>
    </font>
    <font>
      <sz val="10"/>
      <color rgb="FFFF0000"/>
      <name val="Arial"/>
      <family val="2"/>
    </font>
    <font>
      <sz val="10"/>
      <name val="Arial"/>
      <family val="2"/>
    </font>
    <font>
      <sz val="10"/>
      <color rgb="FF000000"/>
      <name val="Tahoma"/>
      <family val="2"/>
    </font>
    <font>
      <b/>
      <sz val="10"/>
      <color rgb="FF000000"/>
      <name val="Tahoma"/>
      <family val="2"/>
    </font>
    <font>
      <sz val="10"/>
      <color theme="1"/>
      <name val="Arial"/>
      <family val="2"/>
    </font>
    <font>
      <sz val="10"/>
      <color rgb="FF00B050"/>
      <name val="Arial"/>
      <family val="2"/>
    </font>
    <font>
      <u/>
      <sz val="10"/>
      <color theme="1"/>
      <name val="Arial"/>
      <family val="2"/>
    </font>
    <font>
      <b/>
      <sz val="12"/>
      <color theme="1"/>
      <name val="Arial"/>
      <family val="2"/>
    </font>
    <font>
      <sz val="14"/>
      <color rgb="FFFF0000"/>
      <name val="TH SarabunPSK"/>
      <family val="2"/>
    </font>
    <font>
      <sz val="11"/>
      <color rgb="FFFF0000"/>
      <name val="TH SarabunPSK"/>
      <family val="2"/>
    </font>
    <font>
      <b/>
      <sz val="14"/>
      <name val="TH SarabunPSK"/>
      <family val="2"/>
    </font>
    <font>
      <sz val="14"/>
      <color rgb="FFC00000"/>
      <name val="TH SarabunPSK"/>
      <family val="2"/>
    </font>
    <font>
      <sz val="14"/>
      <name val="TH SarabunPSK"/>
      <family val="2"/>
    </font>
    <font>
      <sz val="14"/>
      <color rgb="FF000000"/>
      <name val="TH SarabunPSK"/>
      <family val="2"/>
    </font>
    <font>
      <sz val="10"/>
      <color rgb="FF000000"/>
      <name val="Arial"/>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rgb="FF06CCBE"/>
        <bgColor indexed="64"/>
      </patternFill>
    </fill>
    <fill>
      <patternFill patternType="solid">
        <fgColor rgb="FFFED230"/>
        <bgColor indexed="64"/>
      </patternFill>
    </fill>
    <fill>
      <patternFill patternType="solid">
        <fgColor rgb="FFF2007F"/>
        <bgColor indexed="64"/>
      </patternFill>
    </fill>
    <fill>
      <patternFill patternType="solid">
        <fgColor rgb="FFF60064"/>
        <bgColor indexed="64"/>
      </patternFill>
    </fill>
    <fill>
      <patternFill patternType="solid">
        <fgColor rgb="FFFFFF00"/>
        <bgColor indexed="64"/>
      </patternFill>
    </fill>
    <fill>
      <patternFill patternType="solid">
        <fgColor rgb="FFE1E2D4"/>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17CFCB"/>
        <bgColor indexed="64"/>
      </patternFill>
    </fill>
    <fill>
      <patternFill patternType="solid">
        <fgColor rgb="FFC00000"/>
        <bgColor indexed="64"/>
      </patternFill>
    </fill>
  </fills>
  <borders count="42">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6CCBE"/>
      </left>
      <right style="thin">
        <color rgb="FF06CCBE"/>
      </right>
      <top style="thin">
        <color rgb="FF06CCBE"/>
      </top>
      <bottom style="thin">
        <color rgb="FF06CCBE"/>
      </bottom>
      <diagonal/>
    </border>
    <border>
      <left/>
      <right/>
      <top style="thin">
        <color rgb="FF06CCBE"/>
      </top>
      <bottom/>
      <diagonal/>
    </border>
    <border>
      <left/>
      <right/>
      <top style="thin">
        <color rgb="FF06CCBE"/>
      </top>
      <bottom style="thin">
        <color rgb="FF06CCBE"/>
      </bottom>
      <diagonal/>
    </border>
    <border>
      <left style="thin">
        <color theme="0"/>
      </left>
      <right/>
      <top style="thin">
        <color theme="0"/>
      </top>
      <bottom style="thin">
        <color theme="0"/>
      </bottom>
      <diagonal/>
    </border>
    <border diagonalUp="1">
      <left/>
      <right/>
      <top style="thin">
        <color theme="0"/>
      </top>
      <bottom style="thin">
        <color theme="0"/>
      </bottom>
      <diagonal style="thin">
        <color theme="0"/>
      </diagonal>
    </border>
    <border>
      <left/>
      <right/>
      <top style="thin">
        <color theme="0"/>
      </top>
      <bottom style="thin">
        <color theme="0"/>
      </bottom>
      <diagonal/>
    </border>
    <border>
      <left style="thin">
        <color indexed="64"/>
      </left>
      <right style="thin">
        <color indexed="64"/>
      </right>
      <top style="thin">
        <color theme="0"/>
      </top>
      <bottom style="thin">
        <color theme="0"/>
      </bottom>
      <diagonal/>
    </border>
    <border>
      <left/>
      <right style="thin">
        <color rgb="FF06CCBE"/>
      </right>
      <top style="thin">
        <color rgb="FF06CCBE"/>
      </top>
      <bottom style="thin">
        <color rgb="FF06CCBE"/>
      </bottom>
      <diagonal/>
    </border>
    <border>
      <left/>
      <right/>
      <top/>
      <bottom style="thin">
        <color rgb="FF06CCBE"/>
      </bottom>
      <diagonal/>
    </border>
    <border>
      <left style="thin">
        <color rgb="FF06CCBE"/>
      </left>
      <right/>
      <top style="thin">
        <color rgb="FF06CCBE"/>
      </top>
      <bottom style="thin">
        <color rgb="FF06CCBE"/>
      </bottom>
      <diagonal/>
    </border>
    <border>
      <left/>
      <right style="thin">
        <color theme="0"/>
      </right>
      <top style="thin">
        <color rgb="FF06CCBE"/>
      </top>
      <bottom style="thin">
        <color rgb="FF06CCBE"/>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06CCBE"/>
      </left>
      <right style="thin">
        <color theme="0"/>
      </right>
      <top style="thin">
        <color rgb="FF06CCBE"/>
      </top>
      <bottom/>
      <diagonal/>
    </border>
    <border>
      <left style="thin">
        <color rgb="FF06CCBE"/>
      </left>
      <right style="thin">
        <color theme="0"/>
      </right>
      <top/>
      <bottom style="thin">
        <color rgb="FF06CCBE"/>
      </bottom>
      <diagonal/>
    </border>
    <border>
      <left style="medium">
        <color rgb="FF06CCBE"/>
      </left>
      <right style="medium">
        <color rgb="FF06CCBE"/>
      </right>
      <top style="medium">
        <color rgb="FF06CCBE"/>
      </top>
      <bottom style="medium">
        <color rgb="FF06CCBE"/>
      </bottom>
      <diagonal/>
    </border>
    <border>
      <left style="thin">
        <color indexed="64"/>
      </left>
      <right style="medium">
        <color rgb="FF06CCBE"/>
      </right>
      <top style="thin">
        <color indexed="64"/>
      </top>
      <bottom/>
      <diagonal/>
    </border>
    <border>
      <left style="medium">
        <color rgb="FF06CCBE"/>
      </left>
      <right style="thin">
        <color indexed="64"/>
      </right>
      <top style="thin">
        <color indexed="64"/>
      </top>
      <bottom/>
      <diagonal/>
    </border>
    <border>
      <left style="thin">
        <color indexed="64"/>
      </left>
      <right style="medium">
        <color rgb="FF06CCBE"/>
      </right>
      <top/>
      <bottom style="thin">
        <color indexed="64"/>
      </bottom>
      <diagonal/>
    </border>
    <border>
      <left style="medium">
        <color rgb="FF06CCBE"/>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theme="0"/>
      </top>
      <bottom/>
      <diagonal/>
    </border>
    <border>
      <left/>
      <right/>
      <top/>
      <bottom style="thin">
        <color theme="0"/>
      </bottom>
      <diagonal/>
    </border>
    <border>
      <left style="thin">
        <color indexed="64"/>
      </left>
      <right style="thin">
        <color indexed="64"/>
      </right>
      <top/>
      <bottom/>
      <diagonal/>
    </border>
    <border>
      <left style="medium">
        <color rgb="FF06CCBE"/>
      </left>
      <right style="medium">
        <color rgb="FF06CCBE"/>
      </right>
      <top style="medium">
        <color rgb="FF06CCBE"/>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25" fillId="0" borderId="0" applyNumberFormat="0" applyFill="0" applyBorder="0" applyAlignment="0" applyProtection="0"/>
    <xf numFmtId="187" fontId="27" fillId="0" borderId="0" applyFont="0" applyFill="0" applyBorder="0" applyAlignment="0" applyProtection="0"/>
  </cellStyleXfs>
  <cellXfs count="254">
    <xf numFmtId="0" fontId="0" fillId="0" borderId="0" xfId="0"/>
    <xf numFmtId="0" fontId="1" fillId="0" borderId="3" xfId="0" applyFont="1" applyBorder="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89" fontId="1" fillId="0" borderId="0" xfId="0" applyNumberFormat="1" applyFont="1" applyAlignment="1">
      <alignment wrapText="1"/>
    </xf>
    <xf numFmtId="0" fontId="7" fillId="3" borderId="0" xfId="0" applyFont="1" applyFill="1" applyAlignment="1" applyProtection="1">
      <alignment horizontal="center" vertical="center" wrapText="1"/>
      <protection locked="0"/>
    </xf>
    <xf numFmtId="0" fontId="7" fillId="3" borderId="0" xfId="0" applyFont="1" applyFill="1" applyAlignment="1">
      <alignment horizontal="center" vertical="center" wrapText="1"/>
    </xf>
    <xf numFmtId="0" fontId="8" fillId="4" borderId="0" xfId="0" applyFont="1" applyFill="1" applyAlignment="1" applyProtection="1">
      <alignment horizontal="left" vertical="center"/>
      <protection locked="0"/>
    </xf>
    <xf numFmtId="0" fontId="9" fillId="3" borderId="0" xfId="0" applyFont="1" applyFill="1" applyAlignment="1" applyProtection="1">
      <alignment horizontal="left" vertical="center"/>
      <protection locked="0"/>
    </xf>
    <xf numFmtId="190" fontId="1" fillId="0" borderId="0" xfId="0" applyNumberFormat="1" applyFont="1" applyAlignment="1">
      <alignment wrapText="1"/>
    </xf>
    <xf numFmtId="190" fontId="7" fillId="3" borderId="0" xfId="0" applyNumberFormat="1" applyFont="1" applyFill="1" applyAlignment="1" applyProtection="1">
      <alignment horizontal="center" vertical="center" wrapText="1"/>
      <protection locked="0"/>
    </xf>
    <xf numFmtId="190" fontId="7" fillId="3" borderId="0" xfId="0" applyNumberFormat="1" applyFont="1" applyFill="1" applyAlignment="1">
      <alignment horizontal="center" vertical="center" wrapText="1"/>
    </xf>
    <xf numFmtId="0" fontId="10" fillId="3" borderId="0" xfId="0" applyFont="1" applyFill="1" applyAlignment="1">
      <alignment horizontal="center"/>
    </xf>
    <xf numFmtId="0" fontId="1" fillId="3" borderId="0" xfId="0" applyFont="1" applyFill="1" applyAlignment="1">
      <alignment wrapText="1"/>
    </xf>
    <xf numFmtId="190" fontId="1" fillId="3" borderId="0" xfId="0" applyNumberFormat="1" applyFont="1" applyFill="1" applyAlignment="1">
      <alignment wrapText="1"/>
    </xf>
    <xf numFmtId="0" fontId="4" fillId="0" borderId="11" xfId="0" applyFont="1" applyBorder="1" applyAlignment="1">
      <alignment wrapText="1"/>
    </xf>
    <xf numFmtId="0" fontId="5" fillId="0" borderId="0" xfId="0" applyFont="1"/>
    <xf numFmtId="0" fontId="10" fillId="3" borderId="12" xfId="0" applyFont="1" applyFill="1" applyBorder="1" applyAlignment="1">
      <alignment horizontal="center"/>
    </xf>
    <xf numFmtId="0" fontId="10" fillId="3" borderId="13" xfId="0" applyFont="1" applyFill="1" applyBorder="1" applyAlignment="1">
      <alignment horizontal="center"/>
    </xf>
    <xf numFmtId="0" fontId="5" fillId="3" borderId="13" xfId="0" applyFont="1" applyFill="1" applyBorder="1" applyAlignment="1">
      <alignment wrapText="1"/>
    </xf>
    <xf numFmtId="190" fontId="5" fillId="3" borderId="13" xfId="0" applyNumberFormat="1" applyFont="1" applyFill="1" applyBorder="1" applyAlignment="1">
      <alignment wrapText="1"/>
    </xf>
    <xf numFmtId="0" fontId="5" fillId="3" borderId="12" xfId="0" applyFont="1" applyFill="1" applyBorder="1" applyAlignment="1">
      <alignment wrapText="1"/>
    </xf>
    <xf numFmtId="0" fontId="6" fillId="5" borderId="12" xfId="0" applyFont="1" applyFill="1" applyBorder="1" applyAlignment="1">
      <alignment vertical="top" textRotation="90" wrapText="1"/>
    </xf>
    <xf numFmtId="0" fontId="6" fillId="5" borderId="0" xfId="0" applyFont="1" applyFill="1" applyAlignment="1">
      <alignment vertical="top" textRotation="90" wrapText="1"/>
    </xf>
    <xf numFmtId="0" fontId="6" fillId="0" borderId="12" xfId="0" applyFont="1" applyBorder="1"/>
    <xf numFmtId="0" fontId="11" fillId="3" borderId="0" xfId="0" applyFont="1" applyFill="1" applyAlignment="1" applyProtection="1">
      <alignment horizontal="left" vertical="center"/>
      <protection locked="0"/>
    </xf>
    <xf numFmtId="0" fontId="12" fillId="6" borderId="14" xfId="0" applyFont="1" applyFill="1" applyBorder="1" applyAlignment="1">
      <alignment horizontal="left" vertical="center" wrapText="1"/>
    </xf>
    <xf numFmtId="0" fontId="6" fillId="0" borderId="11" xfId="0" applyFont="1" applyBorder="1" applyAlignment="1">
      <alignment horizontal="left" vertical="center"/>
    </xf>
    <xf numFmtId="0" fontId="6" fillId="3" borderId="13" xfId="0" applyFont="1" applyFill="1" applyBorder="1" applyAlignment="1">
      <alignment horizontal="left" vertical="center"/>
    </xf>
    <xf numFmtId="0" fontId="4" fillId="0" borderId="15" xfId="0" applyFont="1" applyBorder="1" applyAlignment="1">
      <alignment wrapText="1"/>
    </xf>
    <xf numFmtId="0" fontId="1" fillId="3" borderId="15" xfId="0" applyFont="1" applyFill="1" applyBorder="1" applyAlignment="1">
      <alignment wrapText="1"/>
    </xf>
    <xf numFmtId="0" fontId="7" fillId="3" borderId="15" xfId="0" applyFont="1" applyFill="1" applyBorder="1" applyAlignment="1" applyProtection="1">
      <alignment horizontal="center" vertical="center" wrapText="1"/>
      <protection locked="0"/>
    </xf>
    <xf numFmtId="0" fontId="5" fillId="3" borderId="15" xfId="0" applyFont="1" applyFill="1" applyBorder="1" applyAlignment="1">
      <alignment wrapText="1"/>
    </xf>
    <xf numFmtId="0" fontId="6" fillId="0" borderId="15" xfId="0" applyFont="1" applyBorder="1" applyAlignment="1">
      <alignment horizontal="left" vertical="center"/>
    </xf>
    <xf numFmtId="0" fontId="6" fillId="3" borderId="15" xfId="0" applyFont="1" applyFill="1" applyBorder="1" applyAlignment="1">
      <alignment horizontal="left" vertical="center"/>
    </xf>
    <xf numFmtId="0" fontId="6" fillId="0" borderId="15" xfId="0" applyFont="1" applyBorder="1"/>
    <xf numFmtId="0" fontId="5" fillId="0" borderId="15" xfId="0" applyFont="1" applyBorder="1"/>
    <xf numFmtId="0" fontId="8" fillId="3" borderId="0" xfId="0" applyFont="1" applyFill="1" applyAlignment="1" applyProtection="1">
      <alignment horizontal="left" vertical="center"/>
      <protection locked="0"/>
    </xf>
    <xf numFmtId="0" fontId="4" fillId="6" borderId="0" xfId="0" applyFont="1" applyFill="1" applyAlignment="1">
      <alignment wrapText="1"/>
    </xf>
    <xf numFmtId="190" fontId="4" fillId="6" borderId="0" xfId="0" applyNumberFormat="1" applyFont="1" applyFill="1" applyAlignment="1">
      <alignment wrapText="1"/>
    </xf>
    <xf numFmtId="0" fontId="4" fillId="0" borderId="16" xfId="0" applyFont="1" applyBorder="1" applyAlignment="1">
      <alignment wrapText="1"/>
    </xf>
    <xf numFmtId="0" fontId="1" fillId="0" borderId="16" xfId="0" applyFont="1" applyBorder="1" applyAlignment="1">
      <alignment wrapText="1"/>
    </xf>
    <xf numFmtId="0" fontId="7" fillId="0" borderId="16" xfId="0" applyFont="1" applyBorder="1" applyAlignment="1" applyProtection="1">
      <alignment horizontal="center" vertical="center" wrapText="1"/>
      <protection locked="0"/>
    </xf>
    <xf numFmtId="0" fontId="4" fillId="3" borderId="0" xfId="0" applyFont="1" applyFill="1" applyAlignment="1">
      <alignment wrapText="1"/>
    </xf>
    <xf numFmtId="0" fontId="1" fillId="3" borderId="0" xfId="0" applyFont="1" applyFill="1" applyAlignment="1" applyProtection="1">
      <alignment vertical="center" wrapText="1"/>
      <protection locked="0"/>
    </xf>
    <xf numFmtId="0" fontId="1" fillId="3" borderId="0" xfId="0" applyFont="1" applyFill="1" applyAlignment="1">
      <alignment vertical="center" wrapText="1"/>
    </xf>
    <xf numFmtId="0" fontId="4" fillId="0" borderId="0" xfId="0" applyFont="1" applyAlignment="1">
      <alignment wrapText="1"/>
    </xf>
    <xf numFmtId="0" fontId="7" fillId="0" borderId="0" xfId="0" applyFont="1" applyAlignment="1">
      <alignment horizontal="center" vertical="center" wrapText="1"/>
    </xf>
    <xf numFmtId="0" fontId="3" fillId="7" borderId="0" xfId="0" applyFont="1" applyFill="1" applyAlignment="1" applyProtection="1">
      <alignment vertical="center"/>
      <protection locked="0"/>
    </xf>
    <xf numFmtId="0" fontId="13" fillId="7" borderId="0" xfId="0" applyFont="1" applyFill="1" applyAlignment="1" applyProtection="1">
      <alignment vertical="center"/>
      <protection locked="0"/>
    </xf>
    <xf numFmtId="0" fontId="3" fillId="8" borderId="0" xfId="0" applyFont="1" applyFill="1" applyAlignment="1" applyProtection="1">
      <alignment vertical="center" wrapText="1"/>
      <protection locked="0"/>
    </xf>
    <xf numFmtId="190" fontId="3" fillId="9" borderId="0" xfId="0" applyNumberFormat="1" applyFont="1" applyFill="1" applyAlignment="1" applyProtection="1">
      <alignment vertical="center" wrapText="1"/>
      <protection locked="0"/>
    </xf>
    <xf numFmtId="0" fontId="3" fillId="9" borderId="0" xfId="0" applyFont="1" applyFill="1" applyAlignment="1" applyProtection="1">
      <alignment vertical="center" wrapText="1"/>
      <protection locked="0"/>
    </xf>
    <xf numFmtId="0" fontId="3" fillId="6" borderId="0" xfId="0" applyFont="1" applyFill="1" applyAlignment="1" applyProtection="1">
      <alignment vertical="center" wrapText="1"/>
      <protection locked="0"/>
    </xf>
    <xf numFmtId="190" fontId="3" fillId="6" borderId="0" xfId="0" applyNumberFormat="1" applyFont="1" applyFill="1" applyAlignment="1" applyProtection="1">
      <alignment vertical="center" wrapText="1"/>
      <protection locked="0"/>
    </xf>
    <xf numFmtId="0" fontId="3" fillId="10" borderId="0" xfId="0" applyFont="1" applyFill="1" applyAlignment="1" applyProtection="1">
      <alignment vertical="center" wrapText="1"/>
      <protection locked="0"/>
    </xf>
    <xf numFmtId="0" fontId="3" fillId="0" borderId="16" xfId="0" applyFont="1" applyBorder="1" applyAlignment="1" applyProtection="1">
      <alignment vertical="center" wrapText="1"/>
      <protection locked="0"/>
    </xf>
    <xf numFmtId="0" fontId="3" fillId="3" borderId="0" xfId="0" applyFont="1" applyFill="1" applyAlignment="1" applyProtection="1">
      <alignment vertical="center" wrapText="1"/>
      <protection locked="0"/>
    </xf>
    <xf numFmtId="190" fontId="3" fillId="3" borderId="0" xfId="0" applyNumberFormat="1" applyFont="1" applyFill="1" applyAlignment="1">
      <alignment vertical="center" wrapText="1"/>
    </xf>
    <xf numFmtId="0" fontId="3" fillId="3" borderId="0" xfId="0" applyFont="1" applyFill="1" applyAlignment="1">
      <alignment vertical="center" wrapText="1"/>
    </xf>
    <xf numFmtId="0" fontId="3" fillId="0" borderId="0" xfId="0" applyFont="1" applyAlignment="1">
      <alignment vertical="center" wrapText="1"/>
    </xf>
    <xf numFmtId="0" fontId="3" fillId="11" borderId="6" xfId="0" applyFont="1" applyFill="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5" fillId="3" borderId="0" xfId="0" applyFont="1" applyFill="1" applyAlignment="1">
      <alignment horizontal="left" vertical="center" wrapText="1"/>
    </xf>
    <xf numFmtId="0" fontId="5" fillId="0" borderId="0" xfId="0" applyFont="1" applyAlignment="1">
      <alignment horizontal="left" vertical="center" wrapText="1"/>
    </xf>
    <xf numFmtId="0" fontId="5" fillId="11" borderId="0" xfId="0" applyFont="1" applyFill="1" applyAlignment="1">
      <alignment horizontal="left" vertical="center" wrapText="1"/>
    </xf>
    <xf numFmtId="9" fontId="1" fillId="0" borderId="2" xfId="0" applyNumberFormat="1" applyFont="1" applyBorder="1" applyAlignment="1" applyProtection="1">
      <alignment horizontal="center" vertical="center" wrapText="1"/>
      <protection locked="0"/>
    </xf>
    <xf numFmtId="0" fontId="1" fillId="0" borderId="0" xfId="0" applyFont="1" applyAlignment="1">
      <alignment horizontal="center" wrapText="1"/>
    </xf>
    <xf numFmtId="188" fontId="1" fillId="0" borderId="3" xfId="0" applyNumberFormat="1" applyFont="1" applyBorder="1" applyAlignment="1" applyProtection="1">
      <alignment horizontal="left" vertical="top" wrapText="1"/>
      <protection locked="0"/>
    </xf>
    <xf numFmtId="0" fontId="1" fillId="3" borderId="0" xfId="0" applyFont="1" applyFill="1" applyAlignment="1">
      <alignment horizontal="left" vertical="top" wrapText="1"/>
    </xf>
    <xf numFmtId="0" fontId="1" fillId="0" borderId="0" xfId="0" applyFont="1" applyAlignment="1">
      <alignment horizontal="left" vertical="top" wrapText="1"/>
    </xf>
    <xf numFmtId="0" fontId="1" fillId="11" borderId="0" xfId="0" applyFont="1" applyFill="1" applyAlignment="1">
      <alignment horizontal="left" vertical="top" wrapText="1"/>
    </xf>
    <xf numFmtId="0" fontId="2" fillId="11" borderId="3" xfId="0" applyFont="1" applyFill="1" applyBorder="1" applyAlignment="1" applyProtection="1">
      <alignment horizontal="left" vertical="top" wrapText="1"/>
      <protection locked="0"/>
    </xf>
    <xf numFmtId="190" fontId="2" fillId="11" borderId="3" xfId="0" applyNumberFormat="1" applyFont="1" applyFill="1" applyBorder="1" applyAlignment="1">
      <alignment horizontal="left" vertical="top" wrapText="1"/>
    </xf>
    <xf numFmtId="189" fontId="1" fillId="2" borderId="0" xfId="0" applyNumberFormat="1" applyFont="1" applyFill="1" applyAlignment="1">
      <alignment wrapText="1"/>
    </xf>
    <xf numFmtId="0" fontId="1" fillId="0" borderId="34" xfId="0" applyFont="1" applyBorder="1" applyAlignment="1">
      <alignment wrapText="1"/>
    </xf>
    <xf numFmtId="0" fontId="1" fillId="0" borderId="35" xfId="0" applyFont="1" applyBorder="1" applyAlignment="1">
      <alignment wrapText="1"/>
    </xf>
    <xf numFmtId="0" fontId="1" fillId="0" borderId="2" xfId="0" applyFont="1" applyBorder="1" applyAlignment="1">
      <alignment wrapText="1"/>
    </xf>
    <xf numFmtId="0" fontId="1" fillId="0" borderId="5" xfId="0" applyFont="1" applyBorder="1" applyAlignment="1">
      <alignment wrapText="1"/>
    </xf>
    <xf numFmtId="0" fontId="1" fillId="0" borderId="32" xfId="0" applyFont="1" applyBorder="1" applyAlignment="1">
      <alignment wrapText="1"/>
    </xf>
    <xf numFmtId="0" fontId="1" fillId="0" borderId="36" xfId="0" applyFont="1" applyBorder="1" applyAlignment="1">
      <alignment wrapText="1"/>
    </xf>
    <xf numFmtId="0" fontId="3" fillId="11" borderId="10" xfId="0" applyFont="1" applyFill="1" applyBorder="1" applyAlignment="1" applyProtection="1">
      <alignment horizontal="left" vertical="center" wrapText="1"/>
      <protection locked="0"/>
    </xf>
    <xf numFmtId="0" fontId="3" fillId="0" borderId="3" xfId="0" applyFont="1" applyBorder="1" applyAlignment="1">
      <alignment wrapText="1"/>
    </xf>
    <xf numFmtId="0" fontId="2" fillId="0" borderId="7" xfId="0" applyFont="1" applyBorder="1"/>
    <xf numFmtId="0" fontId="2" fillId="0" borderId="33" xfId="0" applyFont="1" applyBorder="1"/>
    <xf numFmtId="189" fontId="2" fillId="2" borderId="31" xfId="0" applyNumberFormat="1" applyFont="1" applyFill="1" applyBorder="1"/>
    <xf numFmtId="189" fontId="2" fillId="2" borderId="33" xfId="0" applyNumberFormat="1" applyFont="1" applyFill="1" applyBorder="1"/>
    <xf numFmtId="0" fontId="2" fillId="0" borderId="33" xfId="0" applyFont="1" applyBorder="1" applyAlignment="1">
      <alignment horizontal="left"/>
    </xf>
    <xf numFmtId="4" fontId="1" fillId="0" borderId="3" xfId="0" applyNumberFormat="1" applyFont="1" applyBorder="1" applyAlignment="1" applyProtection="1">
      <alignment vertical="center" wrapText="1"/>
      <protection locked="0"/>
    </xf>
    <xf numFmtId="4" fontId="1" fillId="0" borderId="3" xfId="0" applyNumberFormat="1" applyFont="1" applyBorder="1" applyAlignment="1">
      <alignment wrapText="1"/>
    </xf>
    <xf numFmtId="4" fontId="1" fillId="0" borderId="3" xfId="0" applyNumberFormat="1" applyFont="1" applyBorder="1" applyAlignment="1">
      <alignment vertical="center" wrapText="1"/>
    </xf>
    <xf numFmtId="4" fontId="1" fillId="0" borderId="17" xfId="0" applyNumberFormat="1" applyFont="1" applyBorder="1" applyAlignment="1" applyProtection="1">
      <alignment vertical="center" wrapText="1"/>
      <protection locked="0"/>
    </xf>
    <xf numFmtId="4" fontId="1" fillId="0" borderId="0" xfId="0" applyNumberFormat="1" applyFont="1" applyAlignment="1">
      <alignment wrapText="1"/>
    </xf>
    <xf numFmtId="4" fontId="1" fillId="0" borderId="16" xfId="0" applyNumberFormat="1" applyFont="1" applyBorder="1" applyAlignment="1">
      <alignment wrapText="1"/>
    </xf>
    <xf numFmtId="0" fontId="18" fillId="0" borderId="0" xfId="0" applyFont="1"/>
    <xf numFmtId="0" fontId="17" fillId="0" borderId="0" xfId="0" applyFont="1"/>
    <xf numFmtId="0" fontId="19" fillId="0" borderId="0" xfId="0" applyFont="1" applyAlignment="1">
      <alignment horizontal="left" indent="4"/>
    </xf>
    <xf numFmtId="188" fontId="1" fillId="12" borderId="7" xfId="0" applyNumberFormat="1" applyFont="1" applyFill="1" applyBorder="1" applyAlignment="1" applyProtection="1">
      <alignment horizontal="left" vertical="top" wrapText="1"/>
      <protection locked="0"/>
    </xf>
    <xf numFmtId="0" fontId="7" fillId="0" borderId="0" xfId="0" applyFont="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31" xfId="0" applyFont="1" applyBorder="1" applyAlignment="1" applyProtection="1">
      <alignment horizontal="left" vertical="center" wrapText="1"/>
      <protection locked="0"/>
    </xf>
    <xf numFmtId="0" fontId="1" fillId="0" borderId="0" xfId="0" applyFont="1" applyAlignment="1" applyProtection="1">
      <alignment horizontal="left" vertical="top" wrapText="1"/>
      <protection locked="0"/>
    </xf>
    <xf numFmtId="4" fontId="1" fillId="0" borderId="36" xfId="0" applyNumberFormat="1" applyFont="1" applyBorder="1" applyAlignment="1" applyProtection="1">
      <alignment vertical="center" wrapText="1"/>
      <protection locked="0"/>
    </xf>
    <xf numFmtId="0" fontId="3" fillId="3" borderId="0" xfId="0" applyFont="1" applyFill="1" applyAlignment="1" applyProtection="1">
      <alignment vertical="center"/>
      <protection locked="0"/>
    </xf>
    <xf numFmtId="0" fontId="1" fillId="13" borderId="26" xfId="0" applyFont="1" applyFill="1" applyBorder="1" applyAlignment="1" applyProtection="1">
      <alignment horizontal="left" vertical="top" wrapText="1"/>
      <protection locked="0"/>
    </xf>
    <xf numFmtId="190" fontId="1" fillId="13" borderId="26" xfId="0" applyNumberFormat="1" applyFont="1" applyFill="1" applyBorder="1" applyAlignment="1" applyProtection="1">
      <alignment horizontal="left" vertical="top" wrapText="1"/>
      <protection locked="0"/>
    </xf>
    <xf numFmtId="188" fontId="1" fillId="13" borderId="7" xfId="0" applyNumberFormat="1" applyFont="1" applyFill="1" applyBorder="1" applyAlignment="1" applyProtection="1">
      <alignment horizontal="left" vertical="top" wrapText="1"/>
      <protection locked="0"/>
    </xf>
    <xf numFmtId="0" fontId="2" fillId="13" borderId="3" xfId="0" applyFont="1" applyFill="1" applyBorder="1" applyAlignment="1" applyProtection="1">
      <alignment horizontal="left" vertical="top" wrapText="1"/>
      <protection locked="0"/>
    </xf>
    <xf numFmtId="190" fontId="2" fillId="13" borderId="3" xfId="0" applyNumberFormat="1" applyFont="1" applyFill="1" applyBorder="1" applyAlignment="1">
      <alignment horizontal="left" vertical="top" wrapText="1"/>
    </xf>
    <xf numFmtId="0" fontId="1" fillId="3" borderId="16" xfId="0" applyFont="1" applyFill="1" applyBorder="1" applyAlignment="1" applyProtection="1">
      <alignment horizontal="left" vertical="top" wrapText="1"/>
      <protection locked="0"/>
    </xf>
    <xf numFmtId="0" fontId="21" fillId="0" borderId="0" xfId="0" applyFont="1" applyAlignment="1">
      <alignment wrapText="1"/>
    </xf>
    <xf numFmtId="0" fontId="17" fillId="0" borderId="0" xfId="0" applyFont="1" applyAlignment="1">
      <alignment wrapText="1"/>
    </xf>
    <xf numFmtId="0" fontId="23" fillId="12" borderId="0" xfId="0" applyFont="1" applyFill="1" applyAlignment="1">
      <alignment horizontal="left"/>
    </xf>
    <xf numFmtId="0" fontId="19" fillId="0" borderId="0" xfId="0" applyFont="1" applyAlignment="1">
      <alignment horizontal="left" wrapText="1" indent="4"/>
    </xf>
    <xf numFmtId="0" fontId="22" fillId="14" borderId="0" xfId="0" applyFont="1" applyFill="1"/>
    <xf numFmtId="0" fontId="24" fillId="15" borderId="0" xfId="0" applyFont="1" applyFill="1"/>
    <xf numFmtId="0" fontId="3" fillId="11" borderId="26" xfId="0" applyFont="1" applyFill="1" applyBorder="1" applyAlignment="1" applyProtection="1">
      <alignment horizontal="left" vertical="center" wrapText="1"/>
      <protection locked="0"/>
    </xf>
    <xf numFmtId="0" fontId="15" fillId="6" borderId="0" xfId="0" applyFont="1" applyFill="1" applyAlignment="1">
      <alignment horizontal="center"/>
    </xf>
    <xf numFmtId="0" fontId="1" fillId="11" borderId="6" xfId="0" applyFont="1" applyFill="1" applyBorder="1" applyAlignment="1" applyProtection="1">
      <alignment horizontal="left" vertical="top" wrapText="1"/>
      <protection locked="0"/>
    </xf>
    <xf numFmtId="0" fontId="1" fillId="11" borderId="1" xfId="0" applyFont="1" applyFill="1" applyBorder="1" applyAlignment="1" applyProtection="1">
      <alignment horizontal="left" vertical="top" wrapText="1"/>
      <protection locked="0"/>
    </xf>
    <xf numFmtId="190" fontId="1" fillId="11" borderId="6" xfId="0" applyNumberFormat="1" applyFont="1" applyFill="1" applyBorder="1" applyAlignment="1" applyProtection="1">
      <alignment horizontal="left" vertical="top" wrapText="1"/>
      <protection locked="0"/>
    </xf>
    <xf numFmtId="190" fontId="1" fillId="11" borderId="1" xfId="0" applyNumberFormat="1" applyFont="1" applyFill="1" applyBorder="1" applyAlignment="1" applyProtection="1">
      <alignment horizontal="left" vertical="top" wrapText="1"/>
      <protection locked="0"/>
    </xf>
    <xf numFmtId="0" fontId="1" fillId="13" borderId="27" xfId="0" applyFont="1" applyFill="1" applyBorder="1" applyAlignment="1" applyProtection="1">
      <alignment horizontal="left" vertical="top" wrapText="1"/>
      <protection locked="0"/>
    </xf>
    <xf numFmtId="0" fontId="1" fillId="13" borderId="29" xfId="0" applyFont="1" applyFill="1" applyBorder="1" applyAlignment="1" applyProtection="1">
      <alignment horizontal="left" vertical="top" wrapText="1"/>
      <protection locked="0"/>
    </xf>
    <xf numFmtId="0" fontId="1" fillId="13" borderId="37" xfId="0" applyFont="1" applyFill="1" applyBorder="1" applyAlignment="1" applyProtection="1">
      <alignment horizontal="left" vertical="top" wrapText="1"/>
      <protection locked="0"/>
    </xf>
    <xf numFmtId="0" fontId="4" fillId="6" borderId="0" xfId="0" applyFont="1" applyFill="1"/>
    <xf numFmtId="0" fontId="1" fillId="3" borderId="0" xfId="0" applyFont="1" applyFill="1"/>
    <xf numFmtId="0" fontId="7" fillId="3" borderId="0" xfId="0" applyFont="1" applyFill="1" applyAlignment="1" applyProtection="1">
      <alignment horizontal="center" vertical="center"/>
      <protection locked="0"/>
    </xf>
    <xf numFmtId="0" fontId="3" fillId="6" borderId="0" xfId="0" applyFont="1" applyFill="1" applyAlignment="1" applyProtection="1">
      <alignment vertical="center"/>
      <protection locked="0"/>
    </xf>
    <xf numFmtId="0" fontId="1" fillId="13" borderId="26" xfId="0" applyFont="1" applyFill="1" applyBorder="1" applyAlignment="1" applyProtection="1">
      <alignment horizontal="left" vertical="top"/>
      <protection locked="0"/>
    </xf>
    <xf numFmtId="0" fontId="1" fillId="0" borderId="3" xfId="0" applyFont="1" applyBorder="1" applyAlignment="1" applyProtection="1">
      <alignment vertical="center"/>
      <protection locked="0"/>
    </xf>
    <xf numFmtId="0" fontId="1" fillId="0" borderId="0" xfId="0" applyFont="1"/>
    <xf numFmtId="0" fontId="1" fillId="10" borderId="3" xfId="0" applyFont="1" applyFill="1" applyBorder="1" applyAlignment="1">
      <alignment horizontal="center"/>
    </xf>
    <xf numFmtId="0" fontId="26" fillId="0" borderId="0" xfId="0" applyFont="1" applyAlignment="1">
      <alignment wrapText="1"/>
    </xf>
    <xf numFmtId="0" fontId="0" fillId="10" borderId="0" xfId="0" applyFill="1"/>
    <xf numFmtId="0" fontId="1" fillId="0" borderId="0" xfId="0" quotePrefix="1" applyFont="1"/>
    <xf numFmtId="4" fontId="31" fillId="0" borderId="17" xfId="0" applyNumberFormat="1" applyFont="1" applyBorder="1" applyAlignment="1" applyProtection="1">
      <alignment vertical="center" wrapText="1"/>
      <protection locked="0"/>
    </xf>
    <xf numFmtId="0" fontId="31" fillId="3" borderId="0" xfId="0" applyFont="1" applyFill="1" applyAlignment="1" applyProtection="1">
      <alignment vertical="center" wrapText="1"/>
      <protection locked="0"/>
    </xf>
    <xf numFmtId="0" fontId="31" fillId="3" borderId="0" xfId="0" applyFont="1" applyFill="1" applyAlignment="1">
      <alignment vertical="center" wrapText="1"/>
    </xf>
    <xf numFmtId="0" fontId="31" fillId="0" borderId="0" xfId="0" applyFont="1" applyAlignment="1">
      <alignment vertical="center" wrapText="1"/>
    </xf>
    <xf numFmtId="9" fontId="30" fillId="0" borderId="2" xfId="0" applyNumberFormat="1" applyFont="1" applyBorder="1" applyAlignment="1" applyProtection="1">
      <alignment horizontal="center" vertical="center" wrapText="1"/>
      <protection locked="0"/>
    </xf>
    <xf numFmtId="4" fontId="30" fillId="0" borderId="3" xfId="0" applyNumberFormat="1" applyFont="1" applyBorder="1" applyAlignment="1">
      <alignment vertical="center" wrapText="1"/>
    </xf>
    <xf numFmtId="4" fontId="30" fillId="0" borderId="36" xfId="0" applyNumberFormat="1" applyFont="1" applyBorder="1" applyAlignment="1" applyProtection="1">
      <alignment vertical="center" wrapText="1"/>
      <protection locked="0"/>
    </xf>
    <xf numFmtId="188" fontId="1" fillId="13" borderId="3" xfId="0" applyNumberFormat="1" applyFont="1" applyFill="1" applyBorder="1" applyAlignment="1" applyProtection="1">
      <alignment horizontal="left" vertical="top" wrapText="1"/>
      <protection locked="0"/>
    </xf>
    <xf numFmtId="0" fontId="30" fillId="0" borderId="3" xfId="0" applyFont="1" applyBorder="1" applyAlignment="1" applyProtection="1">
      <alignment vertical="top" wrapText="1"/>
      <protection locked="0"/>
    </xf>
    <xf numFmtId="187" fontId="30" fillId="0" borderId="3" xfId="2" applyFont="1" applyBorder="1" applyAlignment="1" applyProtection="1">
      <alignment vertical="top" wrapText="1"/>
      <protection locked="0"/>
    </xf>
    <xf numFmtId="0" fontId="30" fillId="0" borderId="0" xfId="0" applyFont="1" applyAlignment="1">
      <alignment wrapText="1"/>
    </xf>
    <xf numFmtId="0" fontId="30" fillId="0" borderId="3" xfId="0" applyFont="1" applyBorder="1" applyAlignment="1">
      <alignment wrapText="1"/>
    </xf>
    <xf numFmtId="0" fontId="30" fillId="0" borderId="2" xfId="0" applyFont="1" applyBorder="1" applyAlignment="1" applyProtection="1">
      <alignment vertical="center" wrapText="1"/>
      <protection locked="0"/>
    </xf>
    <xf numFmtId="4" fontId="30" fillId="0" borderId="2" xfId="0" applyNumberFormat="1" applyFont="1" applyBorder="1" applyAlignment="1" applyProtection="1">
      <alignment vertical="center" wrapText="1"/>
      <protection locked="0"/>
    </xf>
    <xf numFmtId="0" fontId="30" fillId="0" borderId="3" xfId="0" applyFont="1" applyBorder="1" applyAlignment="1" applyProtection="1">
      <alignment vertical="center" wrapText="1"/>
      <protection locked="0"/>
    </xf>
    <xf numFmtId="4" fontId="30" fillId="0" borderId="3" xfId="0" applyNumberFormat="1" applyFont="1" applyBorder="1" applyAlignment="1" applyProtection="1">
      <alignment vertical="center" wrapText="1"/>
      <protection locked="0"/>
    </xf>
    <xf numFmtId="0" fontId="30" fillId="0" borderId="2" xfId="0" applyFont="1" applyBorder="1" applyAlignment="1" applyProtection="1">
      <alignment vertical="center"/>
      <protection locked="0"/>
    </xf>
    <xf numFmtId="0" fontId="30" fillId="0" borderId="3" xfId="0" applyFont="1" applyBorder="1" applyAlignment="1">
      <alignment vertical="center" wrapText="1"/>
    </xf>
    <xf numFmtId="0" fontId="30" fillId="0" borderId="0" xfId="0" applyFont="1" applyAlignment="1">
      <alignment vertical="center" wrapText="1"/>
    </xf>
    <xf numFmtId="0" fontId="30" fillId="0" borderId="7" xfId="0" applyFont="1" applyBorder="1" applyAlignment="1">
      <alignment wrapText="1"/>
    </xf>
    <xf numFmtId="0" fontId="30" fillId="3" borderId="3" xfId="0" applyFont="1" applyFill="1" applyBorder="1" applyAlignment="1">
      <alignment wrapText="1"/>
    </xf>
    <xf numFmtId="0" fontId="30" fillId="0" borderId="5" xfId="0" applyFont="1" applyBorder="1" applyAlignment="1" applyProtection="1">
      <alignment vertical="center" wrapText="1"/>
      <protection locked="0"/>
    </xf>
    <xf numFmtId="0" fontId="30" fillId="0" borderId="3" xfId="0" quotePrefix="1" applyFont="1" applyBorder="1" applyAlignment="1" applyProtection="1">
      <alignment vertical="center" wrapText="1"/>
      <protection locked="0"/>
    </xf>
    <xf numFmtId="0" fontId="30" fillId="0" borderId="2" xfId="0" applyFont="1" applyBorder="1" applyAlignment="1">
      <alignment horizontal="center"/>
    </xf>
    <xf numFmtId="0" fontId="32" fillId="0" borderId="3" xfId="1" applyFont="1" applyBorder="1" applyAlignment="1" applyProtection="1">
      <alignment vertical="center"/>
      <protection locked="0"/>
    </xf>
    <xf numFmtId="0" fontId="30" fillId="0" borderId="6" xfId="0" applyFont="1" applyBorder="1" applyAlignment="1" applyProtection="1">
      <alignment vertical="center" wrapText="1"/>
      <protection locked="0"/>
    </xf>
    <xf numFmtId="0" fontId="30" fillId="16" borderId="3" xfId="0" applyFont="1" applyFill="1" applyBorder="1" applyAlignment="1" applyProtection="1">
      <alignment vertical="center" wrapText="1"/>
      <protection locked="0"/>
    </xf>
    <xf numFmtId="4" fontId="30" fillId="16" borderId="3" xfId="0" applyNumberFormat="1" applyFont="1" applyFill="1" applyBorder="1" applyAlignment="1" applyProtection="1">
      <alignment vertical="center" wrapText="1"/>
      <protection locked="0"/>
    </xf>
    <xf numFmtId="0" fontId="32" fillId="16" borderId="2" xfId="1" applyFont="1" applyFill="1" applyBorder="1" applyAlignment="1" applyProtection="1">
      <alignment vertical="center"/>
      <protection locked="0"/>
    </xf>
    <xf numFmtId="0" fontId="30" fillId="0" borderId="1" xfId="0" applyFont="1" applyBorder="1" applyAlignment="1" applyProtection="1">
      <alignment vertical="center" wrapText="1"/>
      <protection locked="0"/>
    </xf>
    <xf numFmtId="4" fontId="30" fillId="0" borderId="0" xfId="0" applyNumberFormat="1" applyFont="1" applyAlignment="1">
      <alignment wrapText="1"/>
    </xf>
    <xf numFmtId="4" fontId="30" fillId="0" borderId="3" xfId="0" applyNumberFormat="1" applyFont="1" applyBorder="1" applyAlignment="1">
      <alignment wrapText="1"/>
    </xf>
    <xf numFmtId="189" fontId="30" fillId="0" borderId="0" xfId="0" applyNumberFormat="1" applyFont="1" applyAlignment="1">
      <alignment wrapText="1"/>
    </xf>
    <xf numFmtId="190" fontId="30" fillId="0" borderId="0" xfId="0" applyNumberFormat="1" applyFont="1" applyAlignment="1">
      <alignment wrapText="1"/>
    </xf>
    <xf numFmtId="0" fontId="30" fillId="0" borderId="31" xfId="0" applyFont="1" applyBorder="1" applyAlignment="1">
      <alignment wrapText="1"/>
    </xf>
    <xf numFmtId="4" fontId="30" fillId="0" borderId="7" xfId="0" applyNumberFormat="1" applyFont="1" applyBorder="1" applyAlignment="1">
      <alignment wrapText="1"/>
    </xf>
    <xf numFmtId="4" fontId="30" fillId="0" borderId="9" xfId="0" applyNumberFormat="1" applyFont="1" applyBorder="1" applyAlignment="1">
      <alignment wrapText="1"/>
    </xf>
    <xf numFmtId="4" fontId="30" fillId="0" borderId="2" xfId="0" applyNumberFormat="1" applyFont="1" applyBorder="1" applyAlignment="1">
      <alignment wrapText="1"/>
    </xf>
    <xf numFmtId="4" fontId="30" fillId="0" borderId="31" xfId="0" applyNumberFormat="1" applyFont="1" applyBorder="1" applyAlignment="1">
      <alignment wrapText="1"/>
    </xf>
    <xf numFmtId="4" fontId="30" fillId="0" borderId="6" xfId="0" applyNumberFormat="1" applyFont="1" applyBorder="1" applyAlignment="1">
      <alignment horizontal="right" vertical="center" wrapText="1"/>
    </xf>
    <xf numFmtId="4" fontId="30" fillId="0" borderId="0" xfId="0" applyNumberFormat="1" applyFont="1" applyAlignment="1">
      <alignment horizontal="right" vertical="center" wrapText="1"/>
    </xf>
    <xf numFmtId="4" fontId="30" fillId="0" borderId="33" xfId="0" applyNumberFormat="1" applyFont="1" applyBorder="1" applyAlignment="1">
      <alignment wrapText="1"/>
    </xf>
    <xf numFmtId="4" fontId="30" fillId="0" borderId="1" xfId="0" applyNumberFormat="1" applyFont="1" applyBorder="1" applyAlignment="1">
      <alignment horizontal="right" vertical="center" wrapText="1"/>
    </xf>
    <xf numFmtId="0" fontId="30" fillId="0" borderId="33" xfId="0" applyFont="1" applyBorder="1" applyAlignment="1">
      <alignment wrapText="1"/>
    </xf>
    <xf numFmtId="0" fontId="30" fillId="0" borderId="9" xfId="0" applyFont="1" applyBorder="1" applyAlignment="1">
      <alignment wrapText="1"/>
    </xf>
    <xf numFmtId="0" fontId="30" fillId="0" borderId="1" xfId="0" applyFont="1" applyBorder="1" applyAlignment="1">
      <alignment wrapText="1"/>
    </xf>
    <xf numFmtId="0" fontId="33" fillId="0" borderId="0" xfId="0" applyFont="1" applyAlignment="1" applyProtection="1">
      <alignment vertical="center" wrapText="1"/>
      <protection locked="0"/>
    </xf>
    <xf numFmtId="0" fontId="3" fillId="11" borderId="6" xfId="0" applyFont="1" applyFill="1" applyBorder="1" applyAlignment="1" applyProtection="1">
      <alignment horizontal="center" vertical="center" wrapText="1"/>
      <protection locked="0"/>
    </xf>
    <xf numFmtId="0" fontId="3" fillId="11" borderId="7" xfId="0" applyFont="1" applyFill="1" applyBorder="1" applyAlignment="1" applyProtection="1">
      <alignment horizontal="center" vertical="center" wrapText="1"/>
      <protection locked="0"/>
    </xf>
    <xf numFmtId="0" fontId="3" fillId="11" borderId="5" xfId="0" applyFont="1" applyFill="1" applyBorder="1" applyAlignment="1" applyProtection="1">
      <alignment horizontal="left" wrapText="1"/>
      <protection locked="0"/>
    </xf>
    <xf numFmtId="0" fontId="3" fillId="11" borderId="8" xfId="0" applyFont="1" applyFill="1" applyBorder="1" applyAlignment="1" applyProtection="1">
      <alignment horizontal="center" vertical="center" wrapText="1"/>
      <protection locked="0"/>
    </xf>
    <xf numFmtId="0" fontId="3" fillId="11" borderId="26" xfId="0" applyFont="1" applyFill="1" applyBorder="1" applyAlignment="1" applyProtection="1">
      <alignment horizontal="center" vertical="center" wrapText="1"/>
      <protection locked="0"/>
    </xf>
    <xf numFmtId="0" fontId="3" fillId="11" borderId="26" xfId="0" applyFont="1" applyFill="1" applyBorder="1" applyAlignment="1" applyProtection="1">
      <alignment horizontal="center" vertical="center"/>
      <protection locked="0"/>
    </xf>
    <xf numFmtId="0" fontId="34" fillId="0" borderId="0" xfId="0" applyFont="1"/>
    <xf numFmtId="0" fontId="36" fillId="0" borderId="0" xfId="0" applyFont="1" applyAlignment="1">
      <alignment vertical="center"/>
    </xf>
    <xf numFmtId="0" fontId="37" fillId="0" borderId="0" xfId="0" applyFont="1"/>
    <xf numFmtId="0" fontId="37" fillId="0" borderId="0" xfId="0" applyFont="1" applyAlignment="1">
      <alignment vertical="center"/>
    </xf>
    <xf numFmtId="0" fontId="39" fillId="0" borderId="0" xfId="0" applyFont="1" applyAlignment="1">
      <alignment vertical="center"/>
    </xf>
    <xf numFmtId="0" fontId="39" fillId="0" borderId="0" xfId="0" applyFont="1"/>
    <xf numFmtId="0" fontId="34" fillId="0" borderId="0" xfId="0" applyFont="1" applyAlignment="1">
      <alignment vertical="center"/>
    </xf>
    <xf numFmtId="0" fontId="38" fillId="0" borderId="0" xfId="0" applyFont="1"/>
    <xf numFmtId="0" fontId="38" fillId="0" borderId="0" xfId="0" applyFont="1" applyAlignment="1">
      <alignment vertical="center"/>
    </xf>
    <xf numFmtId="3" fontId="30" fillId="0" borderId="3" xfId="0" applyNumberFormat="1" applyFont="1" applyBorder="1" applyAlignment="1" applyProtection="1">
      <alignment vertical="top" wrapText="1"/>
      <protection locked="0"/>
    </xf>
    <xf numFmtId="0" fontId="6" fillId="5" borderId="12" xfId="0" applyFont="1" applyFill="1" applyBorder="1" applyAlignment="1">
      <alignment vertical="top" wrapText="1"/>
    </xf>
    <xf numFmtId="0" fontId="6" fillId="5" borderId="0" xfId="0" applyFont="1" applyFill="1" applyAlignment="1">
      <alignment vertical="top" wrapText="1"/>
    </xf>
    <xf numFmtId="0" fontId="6" fillId="5" borderId="0" xfId="0" applyFont="1" applyFill="1" applyAlignment="1">
      <alignment vertical="top" textRotation="90" wrapText="1"/>
    </xf>
    <xf numFmtId="0" fontId="6" fillId="5" borderId="12" xfId="0" applyFont="1" applyFill="1" applyBorder="1" applyAlignment="1">
      <alignment vertical="top" textRotation="90" wrapText="1"/>
    </xf>
    <xf numFmtId="0" fontId="6" fillId="5" borderId="18"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12" fillId="6" borderId="24" xfId="0" applyFont="1" applyFill="1" applyBorder="1" applyAlignment="1">
      <alignment horizontal="left" vertical="center" wrapText="1"/>
    </xf>
    <xf numFmtId="0" fontId="12" fillId="6" borderId="25" xfId="0" applyFont="1" applyFill="1" applyBorder="1" applyAlignment="1">
      <alignment horizontal="left" vertical="center" wrapText="1"/>
    </xf>
    <xf numFmtId="0" fontId="12" fillId="6" borderId="22" xfId="0" applyFont="1" applyFill="1" applyBorder="1" applyAlignment="1">
      <alignment horizontal="left" vertical="center"/>
    </xf>
    <xf numFmtId="0" fontId="6" fillId="5" borderId="18" xfId="0" applyFont="1" applyFill="1" applyBorder="1" applyAlignment="1">
      <alignment horizontal="left" vertical="center"/>
    </xf>
    <xf numFmtId="0" fontId="6" fillId="5" borderId="11" xfId="0" applyFont="1" applyFill="1" applyBorder="1" applyAlignment="1">
      <alignment horizontal="left" vertical="center"/>
    </xf>
    <xf numFmtId="0" fontId="6" fillId="5" borderId="20" xfId="0" applyFont="1" applyFill="1" applyBorder="1" applyAlignment="1">
      <alignment horizontal="left" vertical="center"/>
    </xf>
    <xf numFmtId="0" fontId="14" fillId="6" borderId="14" xfId="0" applyFont="1" applyFill="1" applyBorder="1" applyAlignment="1">
      <alignment horizontal="left" vertical="center" wrapText="1"/>
    </xf>
    <xf numFmtId="0" fontId="14" fillId="6" borderId="16" xfId="0" applyFont="1" applyFill="1" applyBorder="1" applyAlignment="1">
      <alignment horizontal="left" vertical="center" wrapText="1"/>
    </xf>
    <xf numFmtId="0" fontId="14" fillId="6" borderId="23" xfId="0" applyFont="1" applyFill="1" applyBorder="1" applyAlignment="1">
      <alignment horizontal="left" vertical="center" wrapText="1"/>
    </xf>
    <xf numFmtId="0" fontId="14"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14" xfId="0" applyFont="1" applyFill="1" applyBorder="1" applyAlignment="1">
      <alignment horizontal="left" vertical="center" wrapText="1"/>
    </xf>
    <xf numFmtId="0" fontId="12" fillId="6" borderId="23" xfId="0" applyFont="1" applyFill="1" applyBorder="1" applyAlignment="1">
      <alignment horizontal="left" vertical="center" wrapText="1"/>
    </xf>
    <xf numFmtId="0" fontId="6" fillId="0" borderId="18" xfId="0" applyFont="1" applyBorder="1" applyAlignment="1">
      <alignment horizontal="left" vertical="center"/>
    </xf>
    <xf numFmtId="0" fontId="6" fillId="0" borderId="20" xfId="0" applyFont="1" applyBorder="1" applyAlignment="1">
      <alignment horizontal="left" vertical="center"/>
    </xf>
    <xf numFmtId="0" fontId="6" fillId="0" borderId="18" xfId="0" applyFont="1" applyBorder="1" applyAlignment="1">
      <alignment horizontal="left" vertical="center" wrapText="1"/>
    </xf>
    <xf numFmtId="0" fontId="6" fillId="0" borderId="20" xfId="0" applyFont="1" applyBorder="1" applyAlignment="1">
      <alignment horizontal="left" vertical="center" wrapText="1"/>
    </xf>
    <xf numFmtId="0" fontId="6" fillId="5" borderId="20" xfId="0" applyFont="1" applyFill="1" applyBorder="1" applyAlignment="1">
      <alignment horizontal="left" vertical="center" wrapText="1"/>
    </xf>
    <xf numFmtId="0" fontId="8" fillId="4" borderId="19" xfId="0" applyFont="1" applyFill="1" applyBorder="1" applyAlignment="1" applyProtection="1">
      <alignment horizontal="left" vertical="center"/>
      <protection locked="0"/>
    </xf>
    <xf numFmtId="0" fontId="14" fillId="0" borderId="20" xfId="0" applyFont="1" applyBorder="1" applyAlignment="1">
      <alignment vertical="center" wrapText="1"/>
    </xf>
    <xf numFmtId="0" fontId="14" fillId="0" borderId="13" xfId="0" applyFont="1" applyBorder="1" applyAlignment="1">
      <alignment vertical="center" wrapText="1"/>
    </xf>
    <xf numFmtId="0" fontId="14" fillId="0" borderId="21" xfId="0" applyFont="1" applyBorder="1" applyAlignment="1">
      <alignment vertical="center" wrapText="1"/>
    </xf>
    <xf numFmtId="0" fontId="14" fillId="0" borderId="20" xfId="0" applyFont="1" applyBorder="1" applyAlignment="1">
      <alignment horizontal="left" vertical="center" wrapText="1"/>
    </xf>
    <xf numFmtId="0" fontId="14" fillId="0" borderId="13" xfId="0" applyFont="1" applyBorder="1" applyAlignment="1">
      <alignment horizontal="left" vertical="center" wrapText="1"/>
    </xf>
    <xf numFmtId="0" fontId="14" fillId="0" borderId="21" xfId="0" applyFont="1" applyBorder="1" applyAlignment="1">
      <alignment horizontal="left" vertical="center" wrapText="1"/>
    </xf>
    <xf numFmtId="0" fontId="15" fillId="6" borderId="11" xfId="0" applyFont="1" applyFill="1" applyBorder="1" applyAlignment="1">
      <alignment horizontal="center"/>
    </xf>
    <xf numFmtId="0" fontId="6" fillId="3" borderId="13"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0" xfId="0" applyFont="1" applyFill="1" applyAlignment="1">
      <alignment horizontal="left" vertical="center" wrapText="1"/>
    </xf>
    <xf numFmtId="0" fontId="14" fillId="3" borderId="19" xfId="0" applyFont="1" applyFill="1" applyBorder="1" applyAlignment="1">
      <alignment horizontal="left" vertical="center" wrapText="1"/>
    </xf>
    <xf numFmtId="0" fontId="14" fillId="3" borderId="0" xfId="0" applyFont="1" applyFill="1" applyAlignment="1">
      <alignment horizontal="left" vertical="center" wrapText="1"/>
    </xf>
    <xf numFmtId="0" fontId="1" fillId="13" borderId="6" xfId="0" applyFont="1" applyFill="1" applyBorder="1" applyAlignment="1" applyProtection="1">
      <alignment horizontal="left" vertical="top" wrapText="1"/>
      <protection locked="0"/>
    </xf>
    <xf numFmtId="0" fontId="1" fillId="13" borderId="1" xfId="0" applyFont="1" applyFill="1" applyBorder="1" applyAlignment="1" applyProtection="1">
      <alignment horizontal="left" vertical="top" wrapText="1"/>
      <protection locked="0"/>
    </xf>
    <xf numFmtId="0" fontId="1" fillId="13" borderId="28" xfId="0" applyFont="1" applyFill="1" applyBorder="1" applyAlignment="1" applyProtection="1">
      <alignment horizontal="left" vertical="top" wrapText="1"/>
      <protection locked="0"/>
    </xf>
    <xf numFmtId="0" fontId="1" fillId="13" borderId="30" xfId="0" applyFont="1" applyFill="1" applyBorder="1" applyAlignment="1" applyProtection="1">
      <alignment horizontal="left" vertical="top" wrapText="1"/>
      <protection locked="0"/>
    </xf>
    <xf numFmtId="0" fontId="3" fillId="10" borderId="9" xfId="0" applyFont="1" applyFill="1" applyBorder="1" applyAlignment="1" applyProtection="1">
      <alignment horizontal="left" vertical="center" wrapText="1"/>
      <protection locked="0"/>
    </xf>
    <xf numFmtId="0" fontId="1" fillId="11" borderId="7" xfId="0" applyFont="1" applyFill="1" applyBorder="1" applyAlignment="1" applyProtection="1">
      <alignment horizontal="left" vertical="top" wrapText="1"/>
      <protection locked="0"/>
    </xf>
    <xf numFmtId="0" fontId="1" fillId="11" borderId="5" xfId="0" applyFont="1" applyFill="1" applyBorder="1" applyAlignment="1" applyProtection="1">
      <alignment horizontal="left" vertical="top" wrapText="1"/>
      <protection locked="0"/>
    </xf>
    <xf numFmtId="0" fontId="3" fillId="11" borderId="7" xfId="0" applyFont="1" applyFill="1" applyBorder="1" applyAlignment="1" applyProtection="1">
      <alignment horizontal="left" vertical="center"/>
      <protection locked="0"/>
    </xf>
    <xf numFmtId="0" fontId="3" fillId="11" borderId="4" xfId="0" applyFont="1" applyFill="1" applyBorder="1" applyAlignment="1" applyProtection="1">
      <alignment horizontal="left" vertical="center"/>
      <protection locked="0"/>
    </xf>
    <xf numFmtId="0" fontId="3" fillId="11" borderId="5" xfId="0" applyFont="1" applyFill="1" applyBorder="1" applyAlignment="1" applyProtection="1">
      <alignment horizontal="left" vertical="center"/>
      <protection locked="0"/>
    </xf>
    <xf numFmtId="0" fontId="1" fillId="13" borderId="7" xfId="0" applyFont="1" applyFill="1" applyBorder="1" applyAlignment="1" applyProtection="1">
      <alignment horizontal="left" vertical="top" wrapText="1"/>
      <protection locked="0"/>
    </xf>
    <xf numFmtId="0" fontId="1" fillId="13" borderId="5" xfId="0" applyFont="1" applyFill="1" applyBorder="1" applyAlignment="1" applyProtection="1">
      <alignment horizontal="left" vertical="top" wrapText="1"/>
      <protection locked="0"/>
    </xf>
    <xf numFmtId="0" fontId="40" fillId="5" borderId="38" xfId="0" applyFont="1" applyFill="1" applyBorder="1" applyAlignment="1">
      <alignment horizontal="center" vertical="center" wrapText="1"/>
    </xf>
    <xf numFmtId="4" fontId="40" fillId="5" borderId="39" xfId="0" applyNumberFormat="1" applyFont="1" applyFill="1" applyBorder="1" applyAlignment="1">
      <alignment horizontal="center" vertical="center" wrapText="1"/>
    </xf>
    <xf numFmtId="0" fontId="40" fillId="5" borderId="39" xfId="0" applyFont="1" applyFill="1" applyBorder="1" applyAlignment="1">
      <alignment horizontal="center" vertical="center" wrapText="1"/>
    </xf>
    <xf numFmtId="0" fontId="40" fillId="5" borderId="40" xfId="0" applyFont="1" applyFill="1" applyBorder="1" applyAlignment="1">
      <alignment horizontal="center" vertical="center" wrapText="1"/>
    </xf>
    <xf numFmtId="4" fontId="40" fillId="5" borderId="41" xfId="0" applyNumberFormat="1" applyFont="1" applyFill="1" applyBorder="1" applyAlignment="1">
      <alignment horizontal="center" vertical="center" wrapText="1"/>
    </xf>
    <xf numFmtId="0" fontId="40" fillId="5" borderId="41" xfId="0" applyFont="1" applyFill="1" applyBorder="1" applyAlignment="1">
      <alignment horizontal="center" vertical="center" wrapText="1"/>
    </xf>
  </cellXfs>
  <cellStyles count="3">
    <cellStyle name="Hyperlink" xfId="1" builtinId="8"/>
    <cellStyle name="จุลภาค" xfId="2" builtinId="3"/>
    <cellStyle name="ปกติ" xfId="0" builtinId="0"/>
  </cellStyles>
  <dxfs count="0"/>
  <tableStyles count="0" defaultTableStyle="TableStyleMedium9" defaultPivotStyle="PivotStyleLight16"/>
  <colors>
    <mruColors>
      <color rgb="FF2DC185"/>
      <color rgb="FF92B0D2"/>
      <color rgb="FF6BEFEC"/>
      <color rgb="FF17CFCB"/>
      <color rgb="FF16C8C4"/>
      <color rgb="FF15BBB7"/>
      <color rgb="FF15BDB9"/>
      <color rgb="FF00CC99"/>
      <color rgb="FF00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800100</xdr:colOff>
      <xdr:row>4</xdr:row>
      <xdr:rowOff>228600</xdr:rowOff>
    </xdr:from>
    <xdr:to>
      <xdr:col>1</xdr:col>
      <xdr:colOff>1209675</xdr:colOff>
      <xdr:row>4</xdr:row>
      <xdr:rowOff>228601</xdr:rowOff>
    </xdr:to>
    <xdr:cxnSp macro="">
      <xdr:nvCxnSpPr>
        <xdr:cNvPr id="3" name="Straight Arrow Connector 2">
          <a:extLst>
            <a:ext uri="{FF2B5EF4-FFF2-40B4-BE49-F238E27FC236}">
              <a16:creationId xmlns:a16="http://schemas.microsoft.com/office/drawing/2014/main" id="{00000000-0008-0000-0200-000003000000}"/>
            </a:ext>
          </a:extLst>
        </xdr:cNvPr>
        <xdr:cNvCxnSpPr/>
      </xdr:nvCxnSpPr>
      <xdr:spPr>
        <a:xfrm flipV="1">
          <a:off x="800100" y="1009650"/>
          <a:ext cx="1771650" cy="1"/>
        </a:xfrm>
        <a:prstGeom prst="straightConnector1">
          <a:avLst/>
        </a:prstGeom>
        <a:ln w="57150" cap="sq">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742950</xdr:colOff>
      <xdr:row>4</xdr:row>
      <xdr:rowOff>238125</xdr:rowOff>
    </xdr:from>
    <xdr:to>
      <xdr:col>5</xdr:col>
      <xdr:colOff>1419225</xdr:colOff>
      <xdr:row>4</xdr:row>
      <xdr:rowOff>239713</xdr:rowOff>
    </xdr:to>
    <xdr:cxnSp macro="">
      <xdr:nvCxnSpPr>
        <xdr:cNvPr id="4" name="Straight Arrow Connector 3">
          <a:extLst>
            <a:ext uri="{FF2B5EF4-FFF2-40B4-BE49-F238E27FC236}">
              <a16:creationId xmlns:a16="http://schemas.microsoft.com/office/drawing/2014/main" id="{00000000-0008-0000-0200-000004000000}"/>
            </a:ext>
          </a:extLst>
        </xdr:cNvPr>
        <xdr:cNvCxnSpPr/>
      </xdr:nvCxnSpPr>
      <xdr:spPr>
        <a:xfrm>
          <a:off x="3467100" y="1019175"/>
          <a:ext cx="4229100" cy="1588"/>
        </a:xfrm>
        <a:prstGeom prst="straightConnector1">
          <a:avLst/>
        </a:prstGeom>
        <a:ln w="57150" cap="sq">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238125</xdr:colOff>
      <xdr:row>4</xdr:row>
      <xdr:rowOff>219075</xdr:rowOff>
    </xdr:from>
    <xdr:to>
      <xdr:col>18</xdr:col>
      <xdr:colOff>695325</xdr:colOff>
      <xdr:row>4</xdr:row>
      <xdr:rowOff>220663</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a:off x="16621125" y="1000125"/>
          <a:ext cx="2257425" cy="1588"/>
        </a:xfrm>
        <a:prstGeom prst="straightConnector1">
          <a:avLst/>
        </a:prstGeom>
        <a:ln w="57150" cap="sq">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762000</xdr:colOff>
      <xdr:row>4</xdr:row>
      <xdr:rowOff>228600</xdr:rowOff>
    </xdr:from>
    <xdr:to>
      <xdr:col>13</xdr:col>
      <xdr:colOff>733425</xdr:colOff>
      <xdr:row>4</xdr:row>
      <xdr:rowOff>238125</xdr:rowOff>
    </xdr:to>
    <xdr:cxnSp macro="">
      <xdr:nvCxnSpPr>
        <xdr:cNvPr id="7" name="Straight Arrow Connector 6">
          <a:extLst>
            <a:ext uri="{FF2B5EF4-FFF2-40B4-BE49-F238E27FC236}">
              <a16:creationId xmlns:a16="http://schemas.microsoft.com/office/drawing/2014/main" id="{00000000-0008-0000-0200-000007000000}"/>
            </a:ext>
          </a:extLst>
        </xdr:cNvPr>
        <xdr:cNvCxnSpPr/>
      </xdr:nvCxnSpPr>
      <xdr:spPr>
        <a:xfrm>
          <a:off x="8905875" y="1009650"/>
          <a:ext cx="5238750" cy="9525"/>
        </a:xfrm>
        <a:prstGeom prst="straightConnector1">
          <a:avLst/>
        </a:prstGeom>
        <a:ln w="57150" cap="sq">
          <a:solidFill>
            <a:sysClr val="windowText" lastClr="000000"/>
          </a:solidFill>
          <a:miter lim="8000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0"/>
  <sheetViews>
    <sheetView zoomScale="75" zoomScaleNormal="75" workbookViewId="0">
      <selection activeCell="C49" sqref="C49"/>
    </sheetView>
  </sheetViews>
  <sheetFormatPr defaultColWidth="8.7109375" defaultRowHeight="12.75" x14ac:dyDescent="0.2"/>
  <cols>
    <col min="1" max="1" width="110.42578125" customWidth="1"/>
  </cols>
  <sheetData>
    <row r="1" spans="1:2" ht="30" customHeight="1" x14ac:dyDescent="0.3">
      <c r="A1" s="115" t="s">
        <v>59</v>
      </c>
    </row>
    <row r="2" spans="1:2" ht="14.25" customHeight="1" x14ac:dyDescent="0.2"/>
    <row r="3" spans="1:2" ht="22.5" customHeight="1" x14ac:dyDescent="0.3">
      <c r="A3" s="112" t="s">
        <v>93</v>
      </c>
      <c r="B3" s="94"/>
    </row>
    <row r="4" spans="1:2" ht="9.75" customHeight="1" x14ac:dyDescent="0.2"/>
    <row r="5" spans="1:2" ht="34.5" customHeight="1" x14ac:dyDescent="0.25">
      <c r="A5" s="110" t="s">
        <v>78</v>
      </c>
      <c r="B5" s="94"/>
    </row>
    <row r="6" spans="1:2" ht="14.25" customHeight="1" x14ac:dyDescent="0.25">
      <c r="A6" s="110"/>
      <c r="B6" s="94"/>
    </row>
    <row r="7" spans="1:2" ht="45" x14ac:dyDescent="0.25">
      <c r="A7" s="111" t="s">
        <v>77</v>
      </c>
    </row>
    <row r="8" spans="1:2" ht="13.5" customHeight="1" x14ac:dyDescent="0.25">
      <c r="A8" s="95"/>
    </row>
    <row r="9" spans="1:2" ht="33.75" customHeight="1" x14ac:dyDescent="0.25">
      <c r="A9" s="111" t="s">
        <v>76</v>
      </c>
    </row>
    <row r="10" spans="1:2" ht="15" x14ac:dyDescent="0.25">
      <c r="A10" s="95" t="s">
        <v>82</v>
      </c>
    </row>
    <row r="11" spans="1:2" ht="15" x14ac:dyDescent="0.25">
      <c r="A11" s="95"/>
    </row>
    <row r="12" spans="1:2" ht="30" x14ac:dyDescent="0.25">
      <c r="A12" s="111" t="s">
        <v>90</v>
      </c>
    </row>
    <row r="13" spans="1:2" ht="15" x14ac:dyDescent="0.25">
      <c r="A13" s="95"/>
    </row>
    <row r="14" spans="1:2" ht="18.75" x14ac:dyDescent="0.3">
      <c r="A14" s="112" t="s">
        <v>94</v>
      </c>
      <c r="B14" s="94"/>
    </row>
    <row r="15" spans="1:2" ht="8.25" customHeight="1" x14ac:dyDescent="0.2"/>
    <row r="16" spans="1:2" ht="45" x14ac:dyDescent="0.25">
      <c r="A16" s="111" t="s">
        <v>60</v>
      </c>
    </row>
    <row r="17" spans="1:2" ht="15" x14ac:dyDescent="0.25">
      <c r="A17" s="96" t="s">
        <v>61</v>
      </c>
    </row>
    <row r="18" spans="1:2" ht="30" x14ac:dyDescent="0.25">
      <c r="A18" s="113" t="s">
        <v>62</v>
      </c>
    </row>
    <row r="19" spans="1:2" ht="15" x14ac:dyDescent="0.25">
      <c r="A19" s="96" t="s">
        <v>63</v>
      </c>
    </row>
    <row r="20" spans="1:2" ht="15" x14ac:dyDescent="0.25">
      <c r="A20" s="96"/>
    </row>
    <row r="21" spans="1:2" ht="18.75" x14ac:dyDescent="0.3">
      <c r="A21" s="112" t="s">
        <v>95</v>
      </c>
      <c r="B21" s="94"/>
    </row>
    <row r="22" spans="1:2" ht="8.25" customHeight="1" x14ac:dyDescent="0.25">
      <c r="B22" s="94"/>
    </row>
    <row r="23" spans="1:2" ht="15.75" x14ac:dyDescent="0.25">
      <c r="A23" s="114" t="s">
        <v>64</v>
      </c>
    </row>
    <row r="24" spans="1:2" ht="15" x14ac:dyDescent="0.25">
      <c r="A24" s="95" t="s">
        <v>65</v>
      </c>
    </row>
    <row r="25" spans="1:2" ht="15" x14ac:dyDescent="0.25">
      <c r="A25" s="95"/>
    </row>
    <row r="26" spans="1:2" ht="15.75" x14ac:dyDescent="0.25">
      <c r="A26" s="114" t="s">
        <v>66</v>
      </c>
    </row>
    <row r="27" spans="1:2" ht="15" x14ac:dyDescent="0.25">
      <c r="A27" s="95" t="s">
        <v>67</v>
      </c>
    </row>
    <row r="28" spans="1:2" ht="15" x14ac:dyDescent="0.25">
      <c r="A28" s="95"/>
    </row>
    <row r="29" spans="1:2" ht="15.75" x14ac:dyDescent="0.25">
      <c r="A29" s="114" t="s">
        <v>68</v>
      </c>
    </row>
    <row r="30" spans="1:2" ht="45" x14ac:dyDescent="0.25">
      <c r="A30" s="111" t="s">
        <v>69</v>
      </c>
    </row>
    <row r="31" spans="1:2" ht="15" x14ac:dyDescent="0.25">
      <c r="A31" s="95"/>
    </row>
    <row r="32" spans="1:2" ht="15.75" x14ac:dyDescent="0.25">
      <c r="A32" s="114" t="s">
        <v>86</v>
      </c>
    </row>
    <row r="33" spans="1:1" ht="30" x14ac:dyDescent="0.25">
      <c r="A33" s="111" t="s">
        <v>87</v>
      </c>
    </row>
    <row r="34" spans="1:1" ht="15" x14ac:dyDescent="0.25">
      <c r="A34" s="95" t="s">
        <v>88</v>
      </c>
    </row>
    <row r="35" spans="1:1" ht="30" x14ac:dyDescent="0.25">
      <c r="A35" s="111" t="s">
        <v>89</v>
      </c>
    </row>
    <row r="36" spans="1:1" ht="15" x14ac:dyDescent="0.25">
      <c r="A36" s="95"/>
    </row>
    <row r="37" spans="1:1" ht="15.75" x14ac:dyDescent="0.25">
      <c r="A37" s="114" t="s">
        <v>70</v>
      </c>
    </row>
    <row r="38" spans="1:1" ht="15" x14ac:dyDescent="0.25">
      <c r="A38" s="95" t="s">
        <v>71</v>
      </c>
    </row>
    <row r="39" spans="1:1" ht="15" x14ac:dyDescent="0.25">
      <c r="A39" s="95"/>
    </row>
    <row r="40" spans="1:1" ht="15.75" x14ac:dyDescent="0.25">
      <c r="A40" s="114" t="s">
        <v>72</v>
      </c>
    </row>
    <row r="41" spans="1:1" ht="15" x14ac:dyDescent="0.25">
      <c r="A41" s="95" t="s">
        <v>73</v>
      </c>
    </row>
    <row r="42" spans="1:1" ht="15" x14ac:dyDescent="0.25">
      <c r="A42" s="95"/>
    </row>
    <row r="43" spans="1:1" ht="15.75" x14ac:dyDescent="0.25">
      <c r="A43" s="114" t="s">
        <v>74</v>
      </c>
    </row>
    <row r="44" spans="1:1" ht="15" x14ac:dyDescent="0.25">
      <c r="A44" s="95" t="s">
        <v>75</v>
      </c>
    </row>
    <row r="45" spans="1:1" ht="15" x14ac:dyDescent="0.25">
      <c r="A45" s="95"/>
    </row>
    <row r="46" spans="1:1" ht="15.75" x14ac:dyDescent="0.25">
      <c r="A46" s="114" t="s">
        <v>79</v>
      </c>
    </row>
    <row r="47" spans="1:1" ht="30" x14ac:dyDescent="0.25">
      <c r="A47" s="111" t="s">
        <v>80</v>
      </c>
    </row>
    <row r="48" spans="1:1" ht="15" x14ac:dyDescent="0.25">
      <c r="A48" s="95" t="s">
        <v>96</v>
      </c>
    </row>
    <row r="49" spans="1:1" ht="30" x14ac:dyDescent="0.25">
      <c r="A49" s="111" t="s">
        <v>81</v>
      </c>
    </row>
    <row r="50" spans="1:1" ht="15" x14ac:dyDescent="0.25">
      <c r="A50" s="9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
  <sheetViews>
    <sheetView topLeftCell="A4" workbookViewId="0">
      <selection activeCell="D15" sqref="D15"/>
    </sheetView>
  </sheetViews>
  <sheetFormatPr defaultColWidth="9.140625" defaultRowHeight="15" x14ac:dyDescent="0.2"/>
  <cols>
    <col min="1" max="1" width="17.42578125" style="16" customWidth="1"/>
    <col min="2" max="2" width="12.140625" style="16" customWidth="1"/>
    <col min="3" max="7" width="9.140625" style="16"/>
    <col min="8" max="8" width="10.140625" style="16" customWidth="1"/>
    <col min="9" max="14" width="9.140625" style="16"/>
    <col min="15" max="15" width="4" style="16" customWidth="1"/>
    <col min="16" max="16" width="9.140625" style="16" hidden="1" customWidth="1"/>
    <col min="17" max="19" width="9.140625" style="16"/>
    <col min="20" max="20" width="9.140625" style="36"/>
    <col min="21" max="16384" width="9.140625" style="16"/>
  </cols>
  <sheetData>
    <row r="1" spans="1:20" s="15" customFormat="1" ht="20.25" customHeight="1" x14ac:dyDescent="0.25">
      <c r="A1" s="230" t="s">
        <v>31</v>
      </c>
      <c r="B1" s="230"/>
      <c r="C1" s="230"/>
      <c r="D1" s="230"/>
      <c r="E1" s="230"/>
      <c r="F1" s="230"/>
      <c r="G1" s="230"/>
      <c r="H1" s="230"/>
      <c r="I1" s="230"/>
      <c r="J1" s="230"/>
      <c r="K1" s="230"/>
      <c r="L1" s="230"/>
      <c r="M1" s="230"/>
      <c r="N1" s="230"/>
      <c r="O1" s="230"/>
      <c r="P1" s="230"/>
      <c r="Q1" s="230"/>
      <c r="R1" s="230"/>
      <c r="S1" s="230"/>
      <c r="T1" s="29"/>
    </row>
    <row r="2" spans="1:20" s="13" customFormat="1" ht="12.75" customHeight="1" x14ac:dyDescent="0.25">
      <c r="A2" s="12"/>
      <c r="B2" s="12"/>
      <c r="C2" s="12"/>
      <c r="D2" s="12"/>
      <c r="E2" s="12"/>
      <c r="F2" s="12"/>
      <c r="G2" s="12"/>
      <c r="H2" s="12"/>
      <c r="L2" s="14"/>
      <c r="T2" s="30"/>
    </row>
    <row r="3" spans="1:20" s="6" customFormat="1" ht="28.5" customHeight="1" x14ac:dyDescent="0.2">
      <c r="A3" s="223" t="s">
        <v>29</v>
      </c>
      <c r="B3" s="223"/>
      <c r="C3" s="25" t="s">
        <v>30</v>
      </c>
      <c r="D3" s="10"/>
      <c r="E3" s="5"/>
      <c r="F3" s="5"/>
      <c r="G3" s="5"/>
      <c r="H3" s="5"/>
      <c r="I3" s="5"/>
      <c r="J3" s="5"/>
      <c r="K3" s="5"/>
      <c r="L3" s="10"/>
      <c r="M3" s="5"/>
      <c r="N3" s="5"/>
      <c r="O3" s="5"/>
      <c r="P3" s="5"/>
      <c r="Q3" s="5"/>
      <c r="R3" s="5"/>
      <c r="S3" s="5"/>
      <c r="T3" s="31"/>
    </row>
    <row r="4" spans="1:20" s="19" customFormat="1" ht="12.75" customHeight="1" x14ac:dyDescent="0.25">
      <c r="A4" s="17"/>
      <c r="B4" s="17"/>
      <c r="C4" s="17"/>
      <c r="D4" s="18"/>
      <c r="E4" s="18"/>
      <c r="F4" s="18"/>
      <c r="G4" s="18"/>
      <c r="H4" s="18"/>
      <c r="L4" s="20"/>
      <c r="N4" s="21"/>
      <c r="O4" s="21"/>
      <c r="P4" s="21"/>
      <c r="T4" s="32"/>
    </row>
    <row r="5" spans="1:20" s="27" customFormat="1" ht="20.25" customHeight="1" x14ac:dyDescent="0.2">
      <c r="A5" s="26" t="s">
        <v>15</v>
      </c>
      <c r="B5" s="224"/>
      <c r="C5" s="225"/>
      <c r="D5" s="225"/>
      <c r="E5" s="225"/>
      <c r="F5" s="225"/>
      <c r="G5" s="225"/>
      <c r="H5" s="225"/>
      <c r="I5" s="225"/>
      <c r="J5" s="225"/>
      <c r="K5" s="225"/>
      <c r="L5" s="225"/>
      <c r="M5" s="226"/>
      <c r="N5" s="214" t="s">
        <v>21</v>
      </c>
      <c r="O5" s="214"/>
      <c r="P5" s="214"/>
      <c r="Q5" s="203"/>
      <c r="R5" s="204"/>
      <c r="S5" s="204"/>
      <c r="T5" s="33"/>
    </row>
    <row r="6" spans="1:20" s="27" customFormat="1" ht="20.25" customHeight="1" x14ac:dyDescent="0.2">
      <c r="A6" s="26" t="s">
        <v>16</v>
      </c>
      <c r="B6" s="227"/>
      <c r="C6" s="228"/>
      <c r="D6" s="228"/>
      <c r="E6" s="228"/>
      <c r="F6" s="228"/>
      <c r="G6" s="228"/>
      <c r="H6" s="228"/>
      <c r="I6" s="228"/>
      <c r="J6" s="228"/>
      <c r="K6" s="228"/>
      <c r="L6" s="228"/>
      <c r="M6" s="229"/>
      <c r="N6" s="214" t="s">
        <v>20</v>
      </c>
      <c r="O6" s="214"/>
      <c r="P6" s="214"/>
      <c r="Q6" s="203"/>
      <c r="R6" s="204"/>
      <c r="S6" s="204"/>
      <c r="T6" s="33"/>
    </row>
    <row r="7" spans="1:20" s="28" customFormat="1" ht="4.5" customHeight="1" x14ac:dyDescent="0.2">
      <c r="A7" s="234"/>
      <c r="B7" s="235"/>
      <c r="C7" s="235"/>
      <c r="D7" s="231"/>
      <c r="E7" s="231"/>
      <c r="F7" s="232"/>
      <c r="G7" s="232"/>
      <c r="H7" s="232"/>
      <c r="I7" s="231"/>
      <c r="J7" s="231"/>
      <c r="K7" s="231"/>
      <c r="L7" s="231"/>
      <c r="M7" s="231"/>
      <c r="N7" s="233"/>
      <c r="O7" s="233"/>
      <c r="P7" s="233"/>
      <c r="Q7" s="231"/>
      <c r="R7" s="231"/>
      <c r="S7" s="231"/>
      <c r="T7" s="34"/>
    </row>
    <row r="8" spans="1:20" s="27" customFormat="1" ht="42.75" customHeight="1" x14ac:dyDescent="0.2">
      <c r="A8" s="205" t="s">
        <v>17</v>
      </c>
      <c r="B8" s="215" t="s">
        <v>18</v>
      </c>
      <c r="C8" s="215"/>
      <c r="D8" s="220"/>
      <c r="E8" s="221"/>
      <c r="F8" s="215" t="s">
        <v>35</v>
      </c>
      <c r="G8" s="215"/>
      <c r="H8" s="215"/>
      <c r="I8" s="203"/>
      <c r="J8" s="204"/>
      <c r="K8" s="204"/>
      <c r="L8" s="204"/>
      <c r="M8" s="222"/>
      <c r="N8" s="214" t="s">
        <v>32</v>
      </c>
      <c r="O8" s="214"/>
      <c r="P8" s="214"/>
      <c r="Q8" s="203"/>
      <c r="R8" s="204"/>
      <c r="S8" s="204"/>
      <c r="T8" s="33"/>
    </row>
    <row r="9" spans="1:20" s="27" customFormat="1" ht="42" customHeight="1" x14ac:dyDescent="0.2">
      <c r="A9" s="206"/>
      <c r="B9" s="216" t="s">
        <v>19</v>
      </c>
      <c r="C9" s="217"/>
      <c r="D9" s="218"/>
      <c r="E9" s="219"/>
      <c r="F9" s="207" t="s">
        <v>34</v>
      </c>
      <c r="G9" s="207"/>
      <c r="H9" s="207"/>
      <c r="I9" s="208"/>
      <c r="J9" s="209"/>
      <c r="K9" s="209"/>
      <c r="L9" s="209"/>
      <c r="M9" s="210"/>
      <c r="N9" s="211" t="s">
        <v>33</v>
      </c>
      <c r="O9" s="212"/>
      <c r="P9" s="213"/>
      <c r="Q9" s="208"/>
      <c r="R9" s="209"/>
      <c r="S9" s="209"/>
      <c r="T9" s="33"/>
    </row>
    <row r="10" spans="1:20" s="24" customFormat="1" ht="20.25" customHeight="1" x14ac:dyDescent="0.25">
      <c r="A10" s="22"/>
      <c r="B10" s="23"/>
      <c r="C10" s="23"/>
      <c r="D10" s="22"/>
      <c r="E10" s="199"/>
      <c r="F10" s="200"/>
      <c r="G10" s="200"/>
      <c r="H10" s="200"/>
      <c r="I10" s="199"/>
      <c r="J10" s="199"/>
      <c r="K10" s="199"/>
      <c r="L10" s="199"/>
      <c r="M10" s="199"/>
      <c r="N10" s="200"/>
      <c r="O10" s="23"/>
      <c r="P10" s="201"/>
      <c r="Q10" s="202"/>
      <c r="R10" s="22"/>
      <c r="S10" s="22"/>
      <c r="T10" s="35"/>
    </row>
  </sheetData>
  <mergeCells count="25">
    <mergeCell ref="A3:B3"/>
    <mergeCell ref="B5:M5"/>
    <mergeCell ref="B6:M6"/>
    <mergeCell ref="A1:S1"/>
    <mergeCell ref="D7:S7"/>
    <mergeCell ref="A7:C7"/>
    <mergeCell ref="N6:P6"/>
    <mergeCell ref="Q6:S6"/>
    <mergeCell ref="N5:P5"/>
    <mergeCell ref="E10:N10"/>
    <mergeCell ref="P10:Q10"/>
    <mergeCell ref="Q5:S5"/>
    <mergeCell ref="A8:A9"/>
    <mergeCell ref="F9:H9"/>
    <mergeCell ref="I9:M9"/>
    <mergeCell ref="N9:P9"/>
    <mergeCell ref="Q9:S9"/>
    <mergeCell ref="N8:P8"/>
    <mergeCell ref="Q8:S8"/>
    <mergeCell ref="B8:C8"/>
    <mergeCell ref="B9:C9"/>
    <mergeCell ref="D9:E9"/>
    <mergeCell ref="D8:E8"/>
    <mergeCell ref="F8:H8"/>
    <mergeCell ref="I8:M8"/>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FCBB5-D28F-4383-8369-5C788E0ED5BA}">
  <dimension ref="A1:G24"/>
  <sheetViews>
    <sheetView zoomScale="175" zoomScaleNormal="175" workbookViewId="0">
      <pane xSplit="2" ySplit="1" topLeftCell="E2" activePane="bottomRight" state="frozen"/>
      <selection pane="topRight" activeCell="C1" sqref="C1"/>
      <selection pane="bottomLeft" activeCell="A2" sqref="A2"/>
      <selection pane="bottomRight" activeCell="E22" sqref="E22"/>
    </sheetView>
  </sheetViews>
  <sheetFormatPr defaultColWidth="8.7109375" defaultRowHeight="12.75" x14ac:dyDescent="0.2"/>
  <cols>
    <col min="1" max="1" width="1.7109375" bestFit="1" customWidth="1"/>
    <col min="2" max="2" width="17.28515625" bestFit="1" customWidth="1"/>
    <col min="3" max="3" width="29.28515625" customWidth="1"/>
    <col min="4" max="4" width="21.28515625" bestFit="1" customWidth="1"/>
    <col min="5" max="5" width="30.7109375" bestFit="1" customWidth="1"/>
    <col min="6" max="6" width="34.140625" bestFit="1" customWidth="1"/>
  </cols>
  <sheetData>
    <row r="1" spans="1:7" x14ac:dyDescent="0.2">
      <c r="A1" s="134"/>
      <c r="B1" s="132" t="s">
        <v>98</v>
      </c>
      <c r="C1" s="132" t="s">
        <v>100</v>
      </c>
      <c r="D1" s="132" t="s">
        <v>99</v>
      </c>
      <c r="E1" s="132" t="s">
        <v>101</v>
      </c>
      <c r="F1" s="132" t="s">
        <v>102</v>
      </c>
    </row>
    <row r="2" spans="1:7" x14ac:dyDescent="0.2">
      <c r="A2">
        <v>1</v>
      </c>
      <c r="B2" s="131" t="s">
        <v>115</v>
      </c>
      <c r="C2" s="131" t="s">
        <v>104</v>
      </c>
      <c r="D2" s="131" t="s">
        <v>123</v>
      </c>
      <c r="E2" s="131" t="s">
        <v>107</v>
      </c>
      <c r="F2" s="131" t="s">
        <v>119</v>
      </c>
    </row>
    <row r="3" spans="1:7" x14ac:dyDescent="0.2">
      <c r="B3" s="131" t="s">
        <v>114</v>
      </c>
      <c r="C3" s="131" t="s">
        <v>103</v>
      </c>
      <c r="D3" s="131" t="s">
        <v>106</v>
      </c>
      <c r="E3" s="131" t="s">
        <v>108</v>
      </c>
      <c r="F3" s="131" t="s">
        <v>109</v>
      </c>
      <c r="G3" s="131"/>
    </row>
    <row r="4" spans="1:7" ht="25.5" x14ac:dyDescent="0.2">
      <c r="B4" s="131" t="s">
        <v>131</v>
      </c>
      <c r="C4" s="133" t="s">
        <v>121</v>
      </c>
      <c r="D4" s="131" t="s">
        <v>105</v>
      </c>
      <c r="E4" s="131" t="s">
        <v>120</v>
      </c>
      <c r="F4" s="131" t="s">
        <v>110</v>
      </c>
    </row>
    <row r="5" spans="1:7" x14ac:dyDescent="0.2">
      <c r="C5" s="131"/>
      <c r="F5" s="131" t="s">
        <v>111</v>
      </c>
    </row>
    <row r="6" spans="1:7" x14ac:dyDescent="0.2">
      <c r="F6" s="131" t="s">
        <v>112</v>
      </c>
    </row>
    <row r="7" spans="1:7" x14ac:dyDescent="0.2">
      <c r="F7" s="131" t="s">
        <v>113</v>
      </c>
    </row>
    <row r="8" spans="1:7" x14ac:dyDescent="0.2">
      <c r="F8" s="131" t="s">
        <v>118</v>
      </c>
    </row>
    <row r="9" spans="1:7" x14ac:dyDescent="0.2">
      <c r="B9" s="131"/>
      <c r="C9" s="131"/>
      <c r="D9" s="131"/>
      <c r="F9" s="131" t="s">
        <v>117</v>
      </c>
    </row>
    <row r="10" spans="1:7" x14ac:dyDescent="0.2">
      <c r="C10" s="131"/>
      <c r="F10" s="131"/>
    </row>
    <row r="11" spans="1:7" x14ac:dyDescent="0.2">
      <c r="A11">
        <v>2</v>
      </c>
      <c r="B11" s="131" t="s">
        <v>116</v>
      </c>
      <c r="C11" s="131" t="s">
        <v>122</v>
      </c>
      <c r="D11" s="131" t="s">
        <v>124</v>
      </c>
      <c r="E11" s="131" t="s">
        <v>125</v>
      </c>
      <c r="F11" s="131" t="s">
        <v>126</v>
      </c>
    </row>
    <row r="12" spans="1:7" x14ac:dyDescent="0.2">
      <c r="B12" s="131" t="s">
        <v>132</v>
      </c>
      <c r="C12" s="131"/>
      <c r="D12" s="131"/>
      <c r="E12" s="131"/>
      <c r="F12" s="131"/>
    </row>
    <row r="14" spans="1:7" x14ac:dyDescent="0.2">
      <c r="A14">
        <v>3</v>
      </c>
      <c r="B14" s="131" t="s">
        <v>133</v>
      </c>
      <c r="F14" s="131" t="s">
        <v>134</v>
      </c>
    </row>
    <row r="16" spans="1:7" x14ac:dyDescent="0.2">
      <c r="A16">
        <v>4</v>
      </c>
      <c r="B16" s="131" t="s">
        <v>127</v>
      </c>
      <c r="C16" s="135" t="s">
        <v>128</v>
      </c>
      <c r="D16" s="135" t="s">
        <v>128</v>
      </c>
      <c r="F16" s="131" t="s">
        <v>129</v>
      </c>
    </row>
    <row r="17" spans="1:6" x14ac:dyDescent="0.2">
      <c r="F17" s="131" t="s">
        <v>130</v>
      </c>
    </row>
    <row r="19" spans="1:6" x14ac:dyDescent="0.2">
      <c r="A19">
        <v>5</v>
      </c>
      <c r="B19" s="131" t="s">
        <v>135</v>
      </c>
    </row>
    <row r="23" spans="1:6" x14ac:dyDescent="0.2">
      <c r="A23">
        <v>6</v>
      </c>
      <c r="B23" s="131" t="s">
        <v>97</v>
      </c>
      <c r="D23" s="131" t="s">
        <v>136</v>
      </c>
      <c r="F23" s="131" t="s">
        <v>137</v>
      </c>
    </row>
    <row r="24" spans="1:6" x14ac:dyDescent="0.2">
      <c r="F24" s="131"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44"/>
  <sheetViews>
    <sheetView showGridLines="0" tabSelected="1" zoomScaleNormal="100" workbookViewId="0">
      <pane xSplit="1" ySplit="8" topLeftCell="N24" activePane="bottomRight" state="frozen"/>
      <selection pane="topRight" activeCell="B1" sqref="B1"/>
      <selection pane="bottomLeft" activeCell="A9" sqref="A9"/>
      <selection pane="bottomRight" activeCell="Z37" sqref="Z37"/>
    </sheetView>
  </sheetViews>
  <sheetFormatPr defaultColWidth="9.140625" defaultRowHeight="12.75" x14ac:dyDescent="0.2"/>
  <cols>
    <col min="1" max="1" width="33.42578125" style="3" customWidth="1"/>
    <col min="2" max="2" width="24.42578125" style="3" customWidth="1"/>
    <col min="3" max="3" width="20.42578125" style="3" customWidth="1"/>
    <col min="4" max="4" width="26.7109375" style="9" bestFit="1" customWidth="1"/>
    <col min="5" max="5" width="21.7109375" style="3" customWidth="1"/>
    <col min="6" max="7" width="24" style="3" customWidth="1"/>
    <col min="8" max="8" width="15.42578125" style="3" customWidth="1"/>
    <col min="9" max="9" width="9.7109375" style="3" customWidth="1"/>
    <col min="10" max="11" width="11.28515625" style="3" customWidth="1"/>
    <col min="12" max="12" width="14.42578125" style="3" customWidth="1"/>
    <col min="13" max="13" width="14.42578125" style="9" customWidth="1"/>
    <col min="14" max="14" width="13.28515625" style="131" customWidth="1"/>
    <col min="15" max="15" width="14.7109375" style="3" customWidth="1"/>
    <col min="16" max="16" width="16.42578125" style="3" customWidth="1"/>
    <col min="17" max="17" width="13.7109375" style="3" customWidth="1"/>
    <col min="18" max="18" width="12.28515625" style="3" customWidth="1"/>
    <col min="19" max="19" width="13.42578125" style="3" customWidth="1"/>
    <col min="20" max="20" width="11.7109375" style="41" customWidth="1"/>
    <col min="21" max="21" width="14.28515625" style="3" customWidth="1"/>
    <col min="22" max="22" width="20" style="3" customWidth="1"/>
    <col min="23" max="23" width="14.140625" style="3" bestFit="1" customWidth="1"/>
    <col min="24" max="24" width="16.28515625" style="3" bestFit="1" customWidth="1"/>
    <col min="25" max="25" width="15.42578125" style="3" customWidth="1"/>
    <col min="26" max="26" width="12.7109375" style="3" customWidth="1"/>
    <col min="27" max="27" width="15.7109375" style="3" customWidth="1"/>
    <col min="28" max="28" width="12.7109375" style="3" bestFit="1" customWidth="1"/>
    <col min="29" max="29" width="14.7109375" style="3" customWidth="1"/>
    <col min="30" max="30" width="13.28515625" style="3" customWidth="1"/>
    <col min="31" max="31" width="12.140625" style="3" customWidth="1"/>
    <col min="32" max="32" width="12" style="3" customWidth="1"/>
    <col min="33" max="33" width="12.5703125" style="9" customWidth="1"/>
    <col min="34" max="36" width="9.140625" style="13"/>
    <col min="37" max="16384" width="9.140625" style="3"/>
  </cols>
  <sheetData>
    <row r="1" spans="1:75" s="38" customFormat="1" ht="18" x14ac:dyDescent="0.25">
      <c r="A1" s="117" t="s">
        <v>31</v>
      </c>
      <c r="B1" s="117"/>
      <c r="C1" s="117"/>
      <c r="D1" s="117"/>
      <c r="E1" s="117"/>
      <c r="F1" s="117"/>
      <c r="G1" s="117"/>
      <c r="H1" s="117"/>
      <c r="M1" s="39"/>
      <c r="N1" s="125"/>
      <c r="T1" s="40"/>
      <c r="U1" s="46"/>
      <c r="V1" s="46"/>
      <c r="W1" s="46"/>
      <c r="X1" s="46"/>
      <c r="Y1" s="46"/>
      <c r="Z1" s="46"/>
      <c r="AA1" s="46"/>
      <c r="AG1" s="39"/>
      <c r="AH1" s="43"/>
      <c r="AI1" s="43"/>
      <c r="AJ1" s="43"/>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row>
    <row r="2" spans="1:75" s="13" customFormat="1" ht="7.5" customHeight="1" x14ac:dyDescent="0.25">
      <c r="A2" s="12"/>
      <c r="B2" s="12"/>
      <c r="C2" s="12"/>
      <c r="D2" s="12"/>
      <c r="E2" s="12"/>
      <c r="F2" s="12"/>
      <c r="G2" s="12"/>
      <c r="H2" s="12"/>
      <c r="M2" s="14"/>
      <c r="N2" s="126"/>
      <c r="T2" s="41"/>
      <c r="U2" s="3"/>
      <c r="V2" s="3"/>
      <c r="W2" s="3"/>
      <c r="X2" s="3"/>
      <c r="Y2" s="3"/>
      <c r="Z2" s="3"/>
      <c r="AA2" s="3"/>
      <c r="AG2" s="14"/>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s="6" customFormat="1" ht="28.5" customHeight="1" x14ac:dyDescent="0.2">
      <c r="A3" s="7" t="s">
        <v>29</v>
      </c>
      <c r="B3" s="8" t="s">
        <v>30</v>
      </c>
      <c r="C3" s="5"/>
      <c r="D3" s="10"/>
      <c r="E3" s="5"/>
      <c r="F3" s="5"/>
      <c r="G3" s="5"/>
      <c r="H3" s="5"/>
      <c r="I3" s="5"/>
      <c r="J3" s="5"/>
      <c r="K3" s="5"/>
      <c r="L3" s="5"/>
      <c r="M3" s="10"/>
      <c r="N3" s="127"/>
      <c r="O3" s="5"/>
      <c r="P3" s="5"/>
      <c r="Q3" s="5"/>
      <c r="R3" s="5"/>
      <c r="S3" s="5"/>
      <c r="T3" s="42"/>
      <c r="U3" s="98"/>
      <c r="V3" s="98"/>
      <c r="W3" s="98"/>
      <c r="X3" s="98"/>
      <c r="Y3" s="98"/>
      <c r="Z3" s="98"/>
      <c r="AA3" s="98"/>
      <c r="AB3" s="5"/>
      <c r="AC3" s="5"/>
      <c r="AD3" s="5"/>
      <c r="AE3" s="5"/>
      <c r="AF3" s="5"/>
      <c r="AG3" s="11"/>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row>
    <row r="4" spans="1:75" s="6" customFormat="1" ht="7.5" customHeight="1" x14ac:dyDescent="0.2">
      <c r="A4" s="37"/>
      <c r="B4" s="8"/>
      <c r="C4" s="5"/>
      <c r="D4" s="10"/>
      <c r="E4" s="5"/>
      <c r="F4" s="5"/>
      <c r="G4" s="5"/>
      <c r="H4" s="5"/>
      <c r="I4" s="5"/>
      <c r="J4" s="5"/>
      <c r="K4" s="5"/>
      <c r="L4" s="5"/>
      <c r="M4" s="10"/>
      <c r="N4" s="127"/>
      <c r="O4" s="5"/>
      <c r="P4" s="5"/>
      <c r="Q4" s="5"/>
      <c r="R4" s="5"/>
      <c r="S4" s="5"/>
      <c r="T4" s="42"/>
      <c r="U4" s="98"/>
      <c r="V4" s="98"/>
      <c r="W4" s="98"/>
      <c r="X4" s="98"/>
      <c r="Y4" s="98"/>
      <c r="Z4" s="98"/>
      <c r="AA4" s="98"/>
      <c r="AB4" s="5"/>
      <c r="AC4" s="5"/>
      <c r="AD4" s="5"/>
      <c r="AE4" s="5"/>
      <c r="AF4" s="5"/>
      <c r="AG4" s="11"/>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row>
    <row r="5" spans="1:75" s="59" customFormat="1" ht="34.5" customHeight="1" thickBot="1" x14ac:dyDescent="0.25">
      <c r="A5" s="48" t="s">
        <v>36</v>
      </c>
      <c r="B5" s="49"/>
      <c r="C5" s="50" t="s">
        <v>37</v>
      </c>
      <c r="D5" s="51"/>
      <c r="E5" s="52"/>
      <c r="F5" s="52"/>
      <c r="G5" s="53" t="s">
        <v>38</v>
      </c>
      <c r="H5" s="53"/>
      <c r="I5" s="53"/>
      <c r="J5" s="53"/>
      <c r="K5" s="53"/>
      <c r="L5" s="53"/>
      <c r="M5" s="54"/>
      <c r="N5" s="128"/>
      <c r="O5" s="240" t="s">
        <v>39</v>
      </c>
      <c r="P5" s="240"/>
      <c r="Q5" s="55"/>
      <c r="R5" s="55"/>
      <c r="S5" s="55"/>
      <c r="T5" s="56"/>
      <c r="U5" s="99"/>
      <c r="V5" s="99"/>
      <c r="W5" s="182">
        <f>(8.31
+5.28
+4
+3.1)/4</f>
        <v>5.1725000000000003</v>
      </c>
      <c r="X5" s="99"/>
      <c r="Y5" s="99"/>
      <c r="Z5" s="99"/>
      <c r="AA5" s="99"/>
      <c r="AB5" s="103"/>
      <c r="AC5" s="57"/>
      <c r="AD5" s="57"/>
      <c r="AE5" s="57"/>
      <c r="AF5" s="57"/>
      <c r="AG5" s="58"/>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row>
    <row r="6" spans="1:75" s="65" customFormat="1" ht="26.65" customHeight="1" thickBot="1" x14ac:dyDescent="0.3">
      <c r="A6" s="183" t="s">
        <v>144</v>
      </c>
      <c r="B6" s="61" t="s">
        <v>145</v>
      </c>
      <c r="C6" s="184" t="s">
        <v>146</v>
      </c>
      <c r="D6" s="185" t="s">
        <v>147</v>
      </c>
      <c r="E6" s="186" t="s">
        <v>148</v>
      </c>
      <c r="F6" s="116" t="s">
        <v>149</v>
      </c>
      <c r="G6" s="116" t="s">
        <v>150</v>
      </c>
      <c r="H6" s="116" t="s">
        <v>151</v>
      </c>
      <c r="I6" s="187" t="s">
        <v>152</v>
      </c>
      <c r="J6" s="187" t="s">
        <v>153</v>
      </c>
      <c r="K6" s="187" t="s">
        <v>154</v>
      </c>
      <c r="L6" s="187" t="s">
        <v>155</v>
      </c>
      <c r="M6" s="187" t="s">
        <v>156</v>
      </c>
      <c r="N6" s="188" t="s">
        <v>151</v>
      </c>
      <c r="O6" s="81" t="s">
        <v>24</v>
      </c>
      <c r="P6" s="81" t="s">
        <v>23</v>
      </c>
      <c r="Q6" s="81" t="s">
        <v>22</v>
      </c>
      <c r="R6" s="61" t="s">
        <v>25</v>
      </c>
      <c r="S6" s="61" t="s">
        <v>0</v>
      </c>
      <c r="T6" s="62"/>
      <c r="U6" s="243" t="s">
        <v>6</v>
      </c>
      <c r="V6" s="244"/>
      <c r="W6" s="244"/>
      <c r="X6" s="244"/>
      <c r="Y6" s="244"/>
      <c r="Z6" s="245"/>
      <c r="AA6" s="100"/>
      <c r="AB6" s="243" t="s">
        <v>6</v>
      </c>
      <c r="AC6" s="244"/>
      <c r="AD6" s="244"/>
      <c r="AE6" s="244"/>
      <c r="AF6" s="244"/>
      <c r="AG6" s="245"/>
      <c r="AH6" s="63"/>
      <c r="AI6" s="63"/>
      <c r="AJ6" s="63"/>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row>
    <row r="7" spans="1:75" s="71" customFormat="1" ht="28.5" customHeight="1" thickBot="1" x14ac:dyDescent="0.25">
      <c r="A7" s="118" t="s">
        <v>54</v>
      </c>
      <c r="B7" s="118" t="s">
        <v>42</v>
      </c>
      <c r="C7" s="118" t="s">
        <v>43</v>
      </c>
      <c r="D7" s="120" t="s">
        <v>57</v>
      </c>
      <c r="E7" s="122" t="s">
        <v>44</v>
      </c>
      <c r="F7" s="104" t="s">
        <v>1</v>
      </c>
      <c r="G7" s="104" t="s">
        <v>2</v>
      </c>
      <c r="H7" s="104" t="s">
        <v>3</v>
      </c>
      <c r="I7" s="104" t="s">
        <v>5</v>
      </c>
      <c r="J7" s="104" t="s">
        <v>4</v>
      </c>
      <c r="K7" s="104" t="s">
        <v>91</v>
      </c>
      <c r="L7" s="104" t="s">
        <v>40</v>
      </c>
      <c r="M7" s="105" t="s">
        <v>58</v>
      </c>
      <c r="N7" s="129" t="s">
        <v>3</v>
      </c>
      <c r="O7" s="238" t="s">
        <v>49</v>
      </c>
      <c r="P7" s="236" t="s">
        <v>27</v>
      </c>
      <c r="Q7" s="236" t="s">
        <v>26</v>
      </c>
      <c r="R7" s="236" t="s">
        <v>28</v>
      </c>
      <c r="S7" s="236" t="s">
        <v>50</v>
      </c>
      <c r="T7" s="109"/>
      <c r="U7" s="246" t="s">
        <v>41</v>
      </c>
      <c r="V7" s="247"/>
      <c r="W7" s="143">
        <v>5.1700000000000003E-2</v>
      </c>
      <c r="X7" s="106"/>
      <c r="Y7" s="246"/>
      <c r="Z7" s="247"/>
      <c r="AA7" s="101"/>
      <c r="AB7" s="241" t="s">
        <v>41</v>
      </c>
      <c r="AC7" s="242"/>
      <c r="AD7" s="68"/>
      <c r="AE7" s="97"/>
      <c r="AF7" s="241"/>
      <c r="AG7" s="242"/>
      <c r="AH7" s="69"/>
      <c r="AI7" s="69"/>
      <c r="AJ7" s="69"/>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row>
    <row r="8" spans="1:75" s="71" customFormat="1" ht="28.5" customHeight="1" thickBot="1" x14ac:dyDescent="0.25">
      <c r="A8" s="119"/>
      <c r="B8" s="119"/>
      <c r="C8" s="119"/>
      <c r="D8" s="121"/>
      <c r="E8" s="123"/>
      <c r="F8" s="124" t="s">
        <v>55</v>
      </c>
      <c r="G8" s="104" t="s">
        <v>45</v>
      </c>
      <c r="H8" s="104" t="s">
        <v>46</v>
      </c>
      <c r="I8" s="104" t="s">
        <v>47</v>
      </c>
      <c r="J8" s="104" t="s">
        <v>85</v>
      </c>
      <c r="K8" s="104" t="s">
        <v>84</v>
      </c>
      <c r="L8" s="104" t="s">
        <v>48</v>
      </c>
      <c r="M8" s="105" t="s">
        <v>56</v>
      </c>
      <c r="N8" s="129" t="s">
        <v>46</v>
      </c>
      <c r="O8" s="239"/>
      <c r="P8" s="237"/>
      <c r="Q8" s="237"/>
      <c r="R8" s="237"/>
      <c r="S8" s="237"/>
      <c r="T8" s="109"/>
      <c r="U8" s="107" t="s">
        <v>83</v>
      </c>
      <c r="V8" s="107" t="s">
        <v>10</v>
      </c>
      <c r="W8" s="107" t="s">
        <v>11</v>
      </c>
      <c r="X8" s="107" t="s">
        <v>12</v>
      </c>
      <c r="Y8" s="107" t="s">
        <v>13</v>
      </c>
      <c r="Z8" s="108" t="s">
        <v>14</v>
      </c>
      <c r="AA8" s="101"/>
      <c r="AB8" s="72" t="s">
        <v>83</v>
      </c>
      <c r="AC8" s="72" t="s">
        <v>10</v>
      </c>
      <c r="AD8" s="72" t="s">
        <v>11</v>
      </c>
      <c r="AE8" s="72" t="s">
        <v>12</v>
      </c>
      <c r="AF8" s="72" t="s">
        <v>13</v>
      </c>
      <c r="AG8" s="73" t="s">
        <v>14</v>
      </c>
      <c r="AH8" s="69"/>
      <c r="AI8" s="69"/>
      <c r="AJ8" s="69"/>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row>
    <row r="9" spans="1:75" s="2" customFormat="1" ht="38.25" x14ac:dyDescent="0.3">
      <c r="A9" s="189" t="s">
        <v>157</v>
      </c>
      <c r="B9" s="144" t="s">
        <v>163</v>
      </c>
      <c r="C9" s="144" t="s">
        <v>172</v>
      </c>
      <c r="D9" s="145">
        <f>20*300*2</f>
        <v>12000</v>
      </c>
      <c r="E9" s="194" t="s">
        <v>165</v>
      </c>
      <c r="F9" s="195" t="s">
        <v>166</v>
      </c>
      <c r="G9" s="196" t="s">
        <v>167</v>
      </c>
      <c r="H9" s="148" t="s">
        <v>168</v>
      </c>
      <c r="I9" s="148">
        <v>20</v>
      </c>
      <c r="J9" s="148">
        <v>2</v>
      </c>
      <c r="K9" s="195" t="s">
        <v>169</v>
      </c>
      <c r="L9" s="196" t="s">
        <v>170</v>
      </c>
      <c r="M9" s="149">
        <f xml:space="preserve"> 5000*20</f>
        <v>100000</v>
      </c>
      <c r="N9" s="148" t="s">
        <v>139</v>
      </c>
      <c r="O9" s="140">
        <v>0</v>
      </c>
      <c r="P9" s="140">
        <v>0.05</v>
      </c>
      <c r="Q9" s="140">
        <v>0.05</v>
      </c>
      <c r="R9" s="140">
        <v>0.05</v>
      </c>
      <c r="S9" s="90">
        <f>I9*M9*(1-O9)*(1-P9)*(1-Q9)</f>
        <v>1805000</v>
      </c>
      <c r="T9" s="91"/>
      <c r="U9" s="90">
        <f t="shared" ref="U9" si="0">IF(K9=1,AB9,0)</f>
        <v>0</v>
      </c>
      <c r="V9" s="90">
        <f t="shared" ref="V9" si="1">IF(K9=1,AC9, AB9)</f>
        <v>1805000</v>
      </c>
      <c r="W9" s="90">
        <f t="shared" ref="W9" si="2">AD9</f>
        <v>1714750</v>
      </c>
      <c r="X9" s="90">
        <f t="shared" ref="X9" si="3">AE9</f>
        <v>0</v>
      </c>
      <c r="Y9" s="90">
        <f t="shared" ref="Y9" si="4">AF9</f>
        <v>0</v>
      </c>
      <c r="Z9" s="90">
        <f t="shared" ref="Z9" si="5">AG9</f>
        <v>0</v>
      </c>
      <c r="AA9" s="102"/>
      <c r="AB9" s="90">
        <f>IF(J9&gt;=0,S9,0)</f>
        <v>1805000</v>
      </c>
      <c r="AC9" s="90">
        <f t="shared" ref="AC9" si="6">IF(J9&gt;=1,S9,0)</f>
        <v>1805000</v>
      </c>
      <c r="AD9" s="90">
        <f t="shared" ref="AD9" si="7">IF(J9&gt;1,AC9,0)*(1-R9)</f>
        <v>1714750</v>
      </c>
      <c r="AE9" s="90">
        <f t="shared" ref="AE9" si="8">IF(J9&gt;2,AD9,0)*(1-R9)</f>
        <v>0</v>
      </c>
      <c r="AF9" s="90">
        <f>IF(J9&gt;3,AE9,0)*(1-R9)</f>
        <v>0</v>
      </c>
      <c r="AG9" s="90">
        <f>IF(J9&gt;4,AF9,0)*(1-R9)</f>
        <v>0</v>
      </c>
      <c r="AH9" s="44"/>
      <c r="AI9" s="45"/>
      <c r="AJ9" s="45"/>
    </row>
    <row r="10" spans="1:75" s="2" customFormat="1" ht="18.75" x14ac:dyDescent="0.3">
      <c r="A10" s="190" t="s">
        <v>159</v>
      </c>
      <c r="B10" s="144" t="s">
        <v>171</v>
      </c>
      <c r="C10" s="194" t="s">
        <v>173</v>
      </c>
      <c r="D10" s="144">
        <f xml:space="preserve"> 500*80</f>
        <v>40000</v>
      </c>
      <c r="E10" s="194" t="s">
        <v>174</v>
      </c>
      <c r="F10" s="189" t="s">
        <v>175</v>
      </c>
      <c r="G10" s="196" t="s">
        <v>176</v>
      </c>
      <c r="H10" s="148" t="s">
        <v>177</v>
      </c>
      <c r="I10" s="148">
        <v>500</v>
      </c>
      <c r="J10" s="148">
        <v>2</v>
      </c>
      <c r="K10" s="197" t="s">
        <v>171</v>
      </c>
      <c r="L10" s="196" t="s">
        <v>178</v>
      </c>
      <c r="M10" s="151">
        <v>800</v>
      </c>
      <c r="N10" s="148" t="s">
        <v>139</v>
      </c>
      <c r="O10" s="140">
        <v>0.3</v>
      </c>
      <c r="P10" s="140">
        <v>0.05</v>
      </c>
      <c r="Q10" s="140">
        <v>0.05</v>
      </c>
      <c r="R10" s="140">
        <v>0.1</v>
      </c>
      <c r="S10" s="90">
        <f t="shared" ref="S10:S14" si="9">I10*M10*(1-O10)*(1-P10)*(1-Q10)</f>
        <v>252700</v>
      </c>
      <c r="T10" s="91"/>
      <c r="U10" s="90">
        <f t="shared" ref="U10:U15" si="10">IF(K10=1,AB10,0)</f>
        <v>0</v>
      </c>
      <c r="V10" s="90">
        <f t="shared" ref="V10:V15" si="11">IF(K10=1,AC10, AB10)</f>
        <v>252700</v>
      </c>
      <c r="W10" s="90">
        <f t="shared" ref="W10:W15" si="12">AD10</f>
        <v>227430</v>
      </c>
      <c r="X10" s="90">
        <f t="shared" ref="X10:X15" si="13">AE10</f>
        <v>0</v>
      </c>
      <c r="Y10" s="90">
        <f t="shared" ref="Y10:Y15" si="14">AF10</f>
        <v>0</v>
      </c>
      <c r="Z10" s="90">
        <f t="shared" ref="Z10:Z15" si="15">AG10</f>
        <v>0</v>
      </c>
      <c r="AA10" s="102"/>
      <c r="AB10" s="90">
        <f t="shared" ref="AB10:AB14" si="16">IF(J10&gt;=0,S10,0)</f>
        <v>252700</v>
      </c>
      <c r="AC10" s="90">
        <f t="shared" ref="AC10:AC15" si="17">IF(J10&gt;=1,S10,0)</f>
        <v>252700</v>
      </c>
      <c r="AD10" s="90">
        <f t="shared" ref="AD10:AD15" si="18">IF(J10&gt;1,AC10,0)*(1-R10)</f>
        <v>227430</v>
      </c>
      <c r="AE10" s="90">
        <f t="shared" ref="AE10:AE15" si="19">IF(J10&gt;2,AD10,0)*(1-R10)</f>
        <v>0</v>
      </c>
      <c r="AF10" s="90">
        <f t="shared" ref="AF10:AF14" si="20">IF(J10&gt;3,AE10,0)*(1-R10)</f>
        <v>0</v>
      </c>
      <c r="AG10" s="90">
        <f t="shared" ref="AG10:AG14" si="21">IF(J10&gt;4,AF10,0)*(1-R10)</f>
        <v>0</v>
      </c>
      <c r="AH10" s="44"/>
      <c r="AI10" s="45"/>
      <c r="AJ10" s="45"/>
    </row>
    <row r="11" spans="1:75" s="2" customFormat="1" ht="25.5" x14ac:dyDescent="0.3">
      <c r="A11" s="192" t="s">
        <v>160</v>
      </c>
      <c r="B11" s="194" t="s">
        <v>179</v>
      </c>
      <c r="C11" s="193" t="s">
        <v>180</v>
      </c>
      <c r="D11" s="144">
        <f xml:space="preserve"> 150*12*20*12</f>
        <v>432000</v>
      </c>
      <c r="E11" s="147" t="s">
        <v>181</v>
      </c>
      <c r="F11" s="195" t="s">
        <v>182</v>
      </c>
      <c r="G11" s="148" t="s">
        <v>183</v>
      </c>
      <c r="H11" s="148" t="s">
        <v>177</v>
      </c>
      <c r="I11" s="148">
        <v>20</v>
      </c>
      <c r="J11" s="148">
        <v>5</v>
      </c>
      <c r="K11" s="148" t="s">
        <v>184</v>
      </c>
      <c r="L11" s="197" t="s">
        <v>185</v>
      </c>
      <c r="M11" s="149">
        <v>2000</v>
      </c>
      <c r="N11" s="148" t="s">
        <v>139</v>
      </c>
      <c r="O11" s="140">
        <v>0</v>
      </c>
      <c r="P11" s="140">
        <v>0.05</v>
      </c>
      <c r="Q11" s="140">
        <v>0.05</v>
      </c>
      <c r="R11" s="140">
        <v>0.2</v>
      </c>
      <c r="S11" s="90">
        <f t="shared" si="9"/>
        <v>36100</v>
      </c>
      <c r="T11" s="91"/>
      <c r="U11" s="90">
        <f t="shared" si="10"/>
        <v>0</v>
      </c>
      <c r="V11" s="90">
        <f t="shared" si="11"/>
        <v>36100</v>
      </c>
      <c r="W11" s="90">
        <f t="shared" si="12"/>
        <v>28880</v>
      </c>
      <c r="X11" s="90">
        <f t="shared" si="13"/>
        <v>23104</v>
      </c>
      <c r="Y11" s="90">
        <f t="shared" si="14"/>
        <v>18483.2</v>
      </c>
      <c r="Z11" s="90">
        <f t="shared" si="15"/>
        <v>14786.560000000001</v>
      </c>
      <c r="AA11" s="102"/>
      <c r="AB11" s="90">
        <f t="shared" si="16"/>
        <v>36100</v>
      </c>
      <c r="AC11" s="90">
        <f t="shared" si="17"/>
        <v>36100</v>
      </c>
      <c r="AD11" s="90">
        <f t="shared" si="18"/>
        <v>28880</v>
      </c>
      <c r="AE11" s="90">
        <f t="shared" si="19"/>
        <v>23104</v>
      </c>
      <c r="AF11" s="90">
        <f t="shared" si="20"/>
        <v>18483.2</v>
      </c>
      <c r="AG11" s="90">
        <f t="shared" si="21"/>
        <v>14786.560000000001</v>
      </c>
      <c r="AH11" s="44"/>
      <c r="AI11" s="45"/>
      <c r="AJ11" s="45"/>
    </row>
    <row r="12" spans="1:75" s="2" customFormat="1" ht="25.5" x14ac:dyDescent="0.3">
      <c r="A12" s="193" t="s">
        <v>161</v>
      </c>
      <c r="B12" s="144" t="s">
        <v>186</v>
      </c>
      <c r="C12" s="193" t="s">
        <v>187</v>
      </c>
      <c r="D12" s="198">
        <f>500*80</f>
        <v>40000</v>
      </c>
      <c r="E12" s="147" t="s">
        <v>188</v>
      </c>
      <c r="F12" s="195" t="s">
        <v>189</v>
      </c>
      <c r="G12" s="192" t="s">
        <v>190</v>
      </c>
      <c r="H12" s="148" t="s">
        <v>177</v>
      </c>
      <c r="I12" s="148">
        <v>500</v>
      </c>
      <c r="J12" s="148">
        <v>3</v>
      </c>
      <c r="K12" s="148" t="s">
        <v>184</v>
      </c>
      <c r="L12" s="196" t="s">
        <v>191</v>
      </c>
      <c r="M12" s="149">
        <v>80000</v>
      </c>
      <c r="N12" s="148" t="s">
        <v>139</v>
      </c>
      <c r="O12" s="140">
        <v>0.3</v>
      </c>
      <c r="P12" s="140">
        <v>0.1</v>
      </c>
      <c r="Q12" s="140">
        <v>0.1</v>
      </c>
      <c r="R12" s="140">
        <v>0.2</v>
      </c>
      <c r="S12" s="90">
        <f t="shared" si="9"/>
        <v>22680000</v>
      </c>
      <c r="T12" s="91"/>
      <c r="U12" s="90">
        <f t="shared" si="10"/>
        <v>0</v>
      </c>
      <c r="V12" s="90">
        <f t="shared" si="11"/>
        <v>22680000</v>
      </c>
      <c r="W12" s="90">
        <f t="shared" si="12"/>
        <v>18144000</v>
      </c>
      <c r="X12" s="90">
        <f t="shared" si="13"/>
        <v>14515200</v>
      </c>
      <c r="Y12" s="90">
        <f t="shared" si="14"/>
        <v>0</v>
      </c>
      <c r="Z12" s="90">
        <f t="shared" si="15"/>
        <v>0</v>
      </c>
      <c r="AA12" s="102"/>
      <c r="AB12" s="90">
        <f t="shared" si="16"/>
        <v>22680000</v>
      </c>
      <c r="AC12" s="90">
        <f t="shared" si="17"/>
        <v>22680000</v>
      </c>
      <c r="AD12" s="90">
        <f t="shared" si="18"/>
        <v>18144000</v>
      </c>
      <c r="AE12" s="90">
        <f t="shared" si="19"/>
        <v>14515200</v>
      </c>
      <c r="AF12" s="90">
        <f t="shared" si="20"/>
        <v>0</v>
      </c>
      <c r="AG12" s="90">
        <f t="shared" si="21"/>
        <v>0</v>
      </c>
      <c r="AH12" s="44"/>
      <c r="AI12" s="45"/>
      <c r="AJ12" s="45"/>
    </row>
    <row r="13" spans="1:75" s="2" customFormat="1" ht="27" x14ac:dyDescent="0.3">
      <c r="A13" s="192" t="s">
        <v>162</v>
      </c>
      <c r="B13" s="144" t="s">
        <v>192</v>
      </c>
      <c r="C13" s="153" t="s">
        <v>193</v>
      </c>
      <c r="D13" s="153">
        <f>25700*1</f>
        <v>25700</v>
      </c>
      <c r="E13" s="147" t="s">
        <v>194</v>
      </c>
      <c r="F13" s="189" t="s">
        <v>195</v>
      </c>
      <c r="G13" s="196" t="s">
        <v>196</v>
      </c>
      <c r="H13" s="148" t="s">
        <v>177</v>
      </c>
      <c r="I13" s="148">
        <v>3</v>
      </c>
      <c r="J13" s="148">
        <v>5</v>
      </c>
      <c r="K13" s="148" t="s">
        <v>141</v>
      </c>
      <c r="L13" s="196" t="s">
        <v>197</v>
      </c>
      <c r="M13" s="149">
        <v>150000</v>
      </c>
      <c r="N13" s="148" t="s">
        <v>139</v>
      </c>
      <c r="O13" s="140">
        <v>0.1</v>
      </c>
      <c r="P13" s="140">
        <v>0.05</v>
      </c>
      <c r="Q13" s="140">
        <v>0.1</v>
      </c>
      <c r="R13" s="140">
        <v>0.1</v>
      </c>
      <c r="S13" s="90">
        <f t="shared" si="9"/>
        <v>346275</v>
      </c>
      <c r="T13" s="91"/>
      <c r="U13" s="90">
        <f t="shared" si="10"/>
        <v>0</v>
      </c>
      <c r="V13" s="90">
        <f t="shared" si="11"/>
        <v>346275</v>
      </c>
      <c r="W13" s="90">
        <f t="shared" si="12"/>
        <v>311647.5</v>
      </c>
      <c r="X13" s="90">
        <f t="shared" si="13"/>
        <v>280482.75</v>
      </c>
      <c r="Y13" s="90">
        <f t="shared" si="14"/>
        <v>252434.47500000001</v>
      </c>
      <c r="Z13" s="90">
        <f t="shared" si="15"/>
        <v>227191.0275</v>
      </c>
      <c r="AA13" s="102"/>
      <c r="AB13" s="90">
        <f t="shared" si="16"/>
        <v>346275</v>
      </c>
      <c r="AC13" s="90">
        <f t="shared" si="17"/>
        <v>346275</v>
      </c>
      <c r="AD13" s="90">
        <f t="shared" si="18"/>
        <v>311647.5</v>
      </c>
      <c r="AE13" s="90">
        <f t="shared" si="19"/>
        <v>280482.75</v>
      </c>
      <c r="AF13" s="90">
        <f t="shared" si="20"/>
        <v>252434.47500000001</v>
      </c>
      <c r="AG13" s="90">
        <f t="shared" si="21"/>
        <v>227191.0275</v>
      </c>
      <c r="AH13" s="44"/>
      <c r="AI13" s="45"/>
      <c r="AJ13" s="45"/>
    </row>
    <row r="14" spans="1:75" s="2" customFormat="1" ht="21.75" customHeight="1" x14ac:dyDescent="0.3">
      <c r="A14" s="2" t="s">
        <v>158</v>
      </c>
      <c r="B14" s="144" t="s">
        <v>203</v>
      </c>
      <c r="C14" s="194" t="s">
        <v>164</v>
      </c>
      <c r="D14" s="144">
        <f>20*240</f>
        <v>4800</v>
      </c>
      <c r="E14" s="147" t="s">
        <v>198</v>
      </c>
      <c r="F14" s="154" t="s">
        <v>199</v>
      </c>
      <c r="G14" s="153" t="s">
        <v>200</v>
      </c>
      <c r="H14" s="148" t="s">
        <v>177</v>
      </c>
      <c r="I14" s="148">
        <v>20</v>
      </c>
      <c r="J14" s="148">
        <v>5</v>
      </c>
      <c r="K14" s="148" t="s">
        <v>201</v>
      </c>
      <c r="L14" s="196" t="s">
        <v>202</v>
      </c>
      <c r="M14" s="149">
        <v>10000</v>
      </c>
      <c r="N14" s="148" t="s">
        <v>139</v>
      </c>
      <c r="O14" s="140">
        <v>0.5</v>
      </c>
      <c r="P14" s="140">
        <v>0</v>
      </c>
      <c r="Q14" s="140">
        <v>0.5</v>
      </c>
      <c r="R14" s="140">
        <v>0.3</v>
      </c>
      <c r="S14" s="90">
        <f t="shared" si="9"/>
        <v>50000</v>
      </c>
      <c r="T14" s="91"/>
      <c r="U14" s="90">
        <f t="shared" si="10"/>
        <v>0</v>
      </c>
      <c r="V14" s="90">
        <f t="shared" si="11"/>
        <v>50000</v>
      </c>
      <c r="W14" s="90">
        <f t="shared" si="12"/>
        <v>35000</v>
      </c>
      <c r="X14" s="90">
        <f t="shared" si="13"/>
        <v>24500</v>
      </c>
      <c r="Y14" s="90">
        <f t="shared" si="14"/>
        <v>17150</v>
      </c>
      <c r="Z14" s="90">
        <f t="shared" si="15"/>
        <v>12005</v>
      </c>
      <c r="AA14" s="102"/>
      <c r="AB14" s="90">
        <f t="shared" si="16"/>
        <v>50000</v>
      </c>
      <c r="AC14" s="90">
        <f t="shared" si="17"/>
        <v>50000</v>
      </c>
      <c r="AD14" s="90">
        <f t="shared" si="18"/>
        <v>35000</v>
      </c>
      <c r="AE14" s="90">
        <f t="shared" si="19"/>
        <v>24500</v>
      </c>
      <c r="AF14" s="90">
        <f t="shared" si="20"/>
        <v>17150</v>
      </c>
      <c r="AG14" s="90">
        <f t="shared" si="21"/>
        <v>12005</v>
      </c>
      <c r="AH14" s="44"/>
      <c r="AI14" s="45"/>
      <c r="AJ14" s="45"/>
    </row>
    <row r="15" spans="1:75" s="2" customFormat="1" ht="20.25" customHeight="1" x14ac:dyDescent="0.2">
      <c r="B15" s="144"/>
      <c r="C15" s="144"/>
      <c r="D15" s="144"/>
      <c r="E15" s="147"/>
      <c r="F15" s="155"/>
      <c r="G15" s="150"/>
      <c r="H15" s="148"/>
      <c r="I15" s="148"/>
      <c r="J15" s="148"/>
      <c r="K15" s="148"/>
      <c r="L15" s="148"/>
      <c r="M15" s="149"/>
      <c r="N15" s="152"/>
      <c r="O15" s="140">
        <v>0</v>
      </c>
      <c r="P15" s="140">
        <v>0</v>
      </c>
      <c r="Q15" s="140">
        <v>0</v>
      </c>
      <c r="R15" s="140">
        <v>0</v>
      </c>
      <c r="S15" s="90">
        <f>I15*M15*(1-O15)*(1-P15)*(1-Q15)</f>
        <v>0</v>
      </c>
      <c r="T15" s="91"/>
      <c r="U15" s="90">
        <f t="shared" si="10"/>
        <v>0</v>
      </c>
      <c r="V15" s="90">
        <f t="shared" si="11"/>
        <v>0</v>
      </c>
      <c r="W15" s="90">
        <f t="shared" si="12"/>
        <v>0</v>
      </c>
      <c r="X15" s="90">
        <f t="shared" si="13"/>
        <v>0</v>
      </c>
      <c r="Y15" s="90">
        <f t="shared" si="14"/>
        <v>0</v>
      </c>
      <c r="Z15" s="90">
        <f t="shared" si="15"/>
        <v>0</v>
      </c>
      <c r="AA15" s="102"/>
      <c r="AB15" s="90">
        <f>IF(J15&gt;=0,S15,0)</f>
        <v>0</v>
      </c>
      <c r="AC15" s="90">
        <f t="shared" si="17"/>
        <v>0</v>
      </c>
      <c r="AD15" s="90">
        <f t="shared" si="18"/>
        <v>0</v>
      </c>
      <c r="AE15" s="90">
        <f t="shared" si="19"/>
        <v>0</v>
      </c>
      <c r="AF15" s="90">
        <f>IF(J15&gt;3,AE15,0)*(1-R15)</f>
        <v>0</v>
      </c>
      <c r="AG15" s="90">
        <f>IF(J15&gt;4,AF15,0)*(1-R15)</f>
        <v>0</v>
      </c>
      <c r="AH15" s="44"/>
      <c r="AI15" s="45"/>
      <c r="AJ15" s="45"/>
    </row>
    <row r="16" spans="1:75" s="2" customFormat="1" ht="26.25" customHeight="1" x14ac:dyDescent="0.2">
      <c r="B16" s="144"/>
      <c r="C16" s="144"/>
      <c r="D16" s="144"/>
      <c r="E16" s="147"/>
      <c r="F16" s="147"/>
      <c r="G16" s="148"/>
      <c r="H16" s="148"/>
      <c r="I16" s="148"/>
      <c r="J16" s="148"/>
      <c r="K16" s="148"/>
      <c r="L16" s="148"/>
      <c r="M16" s="152"/>
      <c r="N16" s="148"/>
      <c r="O16" s="140">
        <v>0</v>
      </c>
      <c r="P16" s="140">
        <v>0</v>
      </c>
      <c r="Q16" s="140">
        <v>0.66</v>
      </c>
      <c r="R16" s="140">
        <v>0</v>
      </c>
      <c r="S16" s="90">
        <f>I16*M16*(1-O16)*(1-P16)*(1-Q16)</f>
        <v>0</v>
      </c>
      <c r="T16" s="91"/>
      <c r="U16" s="90">
        <f t="shared" ref="U16:U18" si="22">IF(K16=1,AB16,0)</f>
        <v>0</v>
      </c>
      <c r="V16" s="90">
        <f t="shared" ref="V16:V18" si="23">IF(K16=1,AC16, AB16)</f>
        <v>0</v>
      </c>
      <c r="W16" s="90">
        <f t="shared" ref="W16:W18" si="24">AD16</f>
        <v>0</v>
      </c>
      <c r="X16" s="90">
        <f t="shared" ref="X16:X18" si="25">AE16</f>
        <v>0</v>
      </c>
      <c r="Y16" s="90">
        <f t="shared" ref="Y16:Y18" si="26">AF16</f>
        <v>0</v>
      </c>
      <c r="Z16" s="90">
        <f t="shared" ref="Z16:Z18" si="27">AG16</f>
        <v>0</v>
      </c>
      <c r="AA16" s="102"/>
      <c r="AB16" s="90">
        <f t="shared" ref="AB16:AB18" si="28">IF(J16&gt;=0,S16,0)</f>
        <v>0</v>
      </c>
      <c r="AC16" s="90">
        <f t="shared" ref="AC16:AC18" si="29">IF(J16&gt;=1,S16,0)</f>
        <v>0</v>
      </c>
      <c r="AD16" s="90">
        <f t="shared" ref="AD16:AD18" si="30">IF(J16&gt;1,AC16,0)*(1-R16)</f>
        <v>0</v>
      </c>
      <c r="AE16" s="90">
        <f t="shared" ref="AE16:AE18" si="31">IF(J16&gt;2,AD16,0)*(1-R16)</f>
        <v>0</v>
      </c>
      <c r="AF16" s="90">
        <f t="shared" ref="AF16:AF18" si="32">IF(J16&gt;3,AE16,0)*(1-R16)</f>
        <v>0</v>
      </c>
      <c r="AG16" s="90">
        <f t="shared" ref="AG16:AG18" si="33">IF(J16&gt;4,AF16,0)*(1-R16)</f>
        <v>0</v>
      </c>
      <c r="AH16" s="44"/>
      <c r="AI16" s="45"/>
      <c r="AJ16" s="45"/>
    </row>
    <row r="17" spans="1:36" s="2" customFormat="1" ht="18.75" x14ac:dyDescent="0.3">
      <c r="A17" s="191"/>
      <c r="B17" s="144"/>
      <c r="C17" s="144"/>
      <c r="D17" s="144"/>
      <c r="E17" s="147"/>
      <c r="F17" s="156"/>
      <c r="G17" s="148"/>
      <c r="H17" s="148"/>
      <c r="I17" s="150"/>
      <c r="J17" s="150"/>
      <c r="K17" s="150"/>
      <c r="L17" s="150"/>
      <c r="M17" s="151"/>
      <c r="N17" s="150"/>
      <c r="O17" s="140">
        <v>0</v>
      </c>
      <c r="P17" s="140">
        <v>0</v>
      </c>
      <c r="Q17" s="140">
        <v>0.66</v>
      </c>
      <c r="R17" s="140">
        <v>0</v>
      </c>
      <c r="S17" s="90">
        <f t="shared" ref="S17:S18" si="34">I17*M17*(1-O17)*(1-P17)*(1-Q17)</f>
        <v>0</v>
      </c>
      <c r="T17" s="91"/>
      <c r="U17" s="90">
        <f t="shared" si="22"/>
        <v>0</v>
      </c>
      <c r="V17" s="90">
        <f t="shared" si="23"/>
        <v>0</v>
      </c>
      <c r="W17" s="90">
        <f t="shared" si="24"/>
        <v>0</v>
      </c>
      <c r="X17" s="90">
        <f t="shared" si="25"/>
        <v>0</v>
      </c>
      <c r="Y17" s="90">
        <f t="shared" si="26"/>
        <v>0</v>
      </c>
      <c r="Z17" s="90">
        <f t="shared" si="27"/>
        <v>0</v>
      </c>
      <c r="AA17" s="102"/>
      <c r="AB17" s="90">
        <f t="shared" si="28"/>
        <v>0</v>
      </c>
      <c r="AC17" s="90">
        <f t="shared" si="29"/>
        <v>0</v>
      </c>
      <c r="AD17" s="90">
        <f t="shared" si="30"/>
        <v>0</v>
      </c>
      <c r="AE17" s="90">
        <f t="shared" si="31"/>
        <v>0</v>
      </c>
      <c r="AF17" s="90">
        <f t="shared" si="32"/>
        <v>0</v>
      </c>
      <c r="AG17" s="90">
        <f t="shared" si="33"/>
        <v>0</v>
      </c>
      <c r="AH17" s="44"/>
      <c r="AI17" s="45"/>
      <c r="AJ17" s="45"/>
    </row>
    <row r="18" spans="1:36" s="2" customFormat="1" ht="18.75" x14ac:dyDescent="0.3">
      <c r="A18" s="194"/>
      <c r="B18" s="150"/>
      <c r="C18" s="150"/>
      <c r="D18" s="150"/>
      <c r="E18" s="147"/>
      <c r="F18" s="147"/>
      <c r="G18" s="157"/>
      <c r="H18" s="148"/>
      <c r="I18" s="150"/>
      <c r="J18" s="150"/>
      <c r="K18" s="150"/>
      <c r="L18" s="150"/>
      <c r="M18" s="151"/>
      <c r="N18" s="158"/>
      <c r="O18" s="140">
        <v>0</v>
      </c>
      <c r="P18" s="140">
        <v>0</v>
      </c>
      <c r="Q18" s="140">
        <v>0.66</v>
      </c>
      <c r="R18" s="140">
        <v>0</v>
      </c>
      <c r="S18" s="90">
        <f t="shared" si="34"/>
        <v>0</v>
      </c>
      <c r="T18" s="91"/>
      <c r="U18" s="90">
        <f t="shared" si="22"/>
        <v>0</v>
      </c>
      <c r="V18" s="90">
        <f t="shared" si="23"/>
        <v>0</v>
      </c>
      <c r="W18" s="90">
        <f t="shared" si="24"/>
        <v>0</v>
      </c>
      <c r="X18" s="90">
        <f t="shared" si="25"/>
        <v>0</v>
      </c>
      <c r="Y18" s="90">
        <f t="shared" si="26"/>
        <v>0</v>
      </c>
      <c r="Z18" s="90">
        <f t="shared" si="27"/>
        <v>0</v>
      </c>
      <c r="AA18" s="102"/>
      <c r="AB18" s="90">
        <f t="shared" si="28"/>
        <v>0</v>
      </c>
      <c r="AC18" s="90">
        <f t="shared" si="29"/>
        <v>0</v>
      </c>
      <c r="AD18" s="90">
        <f t="shared" si="30"/>
        <v>0</v>
      </c>
      <c r="AE18" s="90">
        <f t="shared" si="31"/>
        <v>0</v>
      </c>
      <c r="AF18" s="90">
        <f t="shared" si="32"/>
        <v>0</v>
      </c>
      <c r="AG18" s="90">
        <f t="shared" si="33"/>
        <v>0</v>
      </c>
      <c r="AH18" s="44"/>
      <c r="AI18" s="45"/>
      <c r="AJ18" s="45"/>
    </row>
    <row r="19" spans="1:36" s="2" customFormat="1" x14ac:dyDescent="0.2">
      <c r="A19" s="159"/>
      <c r="B19" s="150"/>
      <c r="C19" s="150"/>
      <c r="D19" s="150"/>
      <c r="E19" s="147"/>
      <c r="F19" s="147"/>
      <c r="G19" s="154"/>
      <c r="H19" s="148"/>
      <c r="I19" s="150"/>
      <c r="J19" s="150"/>
      <c r="K19" s="150"/>
      <c r="L19" s="150"/>
      <c r="M19" s="151"/>
      <c r="N19" s="160"/>
      <c r="O19" s="140">
        <v>0</v>
      </c>
      <c r="P19" s="140">
        <v>0</v>
      </c>
      <c r="Q19" s="140">
        <v>0.6</v>
      </c>
      <c r="R19" s="140">
        <v>0</v>
      </c>
      <c r="S19" s="90">
        <f t="shared" ref="S19:S29" si="35">+I19*M19*(1-O19)*(1-P19)*(1-Q19)</f>
        <v>0</v>
      </c>
      <c r="T19" s="91"/>
      <c r="U19" s="90">
        <f t="shared" ref="U19:U29" si="36">IF(K19=1,AB19,0)</f>
        <v>0</v>
      </c>
      <c r="V19" s="90">
        <f t="shared" ref="V19:V29" si="37">IF(K19=1,AC19, AB19)</f>
        <v>0</v>
      </c>
      <c r="W19" s="90">
        <f t="shared" ref="W19:W29" si="38">AD19</f>
        <v>0</v>
      </c>
      <c r="X19" s="90">
        <f t="shared" ref="X19:X29" si="39">AE19</f>
        <v>0</v>
      </c>
      <c r="Y19" s="90">
        <f t="shared" ref="Y19:Y29" si="40">AF19</f>
        <v>0</v>
      </c>
      <c r="Z19" s="90">
        <f t="shared" ref="Z19:Z29" si="41">AG19</f>
        <v>0</v>
      </c>
      <c r="AA19" s="102"/>
      <c r="AB19" s="90">
        <f t="shared" ref="AB19:AB29" si="42">IF(J19&gt;=0,S19,0)</f>
        <v>0</v>
      </c>
      <c r="AC19" s="90">
        <f t="shared" ref="AC19:AC29" si="43">IF(J19&gt;=1,S19,0)</f>
        <v>0</v>
      </c>
      <c r="AD19" s="90">
        <f t="shared" ref="AD19:AD29" si="44">IF(J19&gt;1,AC19,0)*(1-R19)</f>
        <v>0</v>
      </c>
      <c r="AE19" s="90">
        <f t="shared" ref="AE19:AE29" si="45">IF(J19&gt;2,AD19,0)*(1-R19)</f>
        <v>0</v>
      </c>
      <c r="AF19" s="90">
        <f t="shared" ref="AF19:AF20" si="46">IF(J19&gt;3,AE19,0)*(1-R19)</f>
        <v>0</v>
      </c>
      <c r="AG19" s="90">
        <f t="shared" ref="AG19:AG29" si="47">IF(J19&gt;4,AF19,0)*(1-R19)</f>
        <v>0</v>
      </c>
      <c r="AH19" s="44"/>
      <c r="AI19" s="45"/>
      <c r="AJ19" s="45"/>
    </row>
    <row r="20" spans="1:36" s="2" customFormat="1" x14ac:dyDescent="0.2">
      <c r="A20" s="153"/>
      <c r="B20" s="153"/>
      <c r="C20" s="153"/>
      <c r="D20" s="153"/>
      <c r="E20" s="153"/>
      <c r="F20" s="150"/>
      <c r="G20" s="153"/>
      <c r="H20" s="148"/>
      <c r="I20" s="150"/>
      <c r="J20" s="150"/>
      <c r="K20" s="150"/>
      <c r="L20" s="150"/>
      <c r="M20" s="151"/>
      <c r="N20" s="150"/>
      <c r="O20" s="140">
        <v>0</v>
      </c>
      <c r="P20" s="140">
        <v>0</v>
      </c>
      <c r="Q20" s="140">
        <v>0.6</v>
      </c>
      <c r="R20" s="140">
        <v>0.3</v>
      </c>
      <c r="S20" s="90">
        <f>+I20*M20*(1-O20)*(1-P20)*(1-Q20)</f>
        <v>0</v>
      </c>
      <c r="T20" s="91"/>
      <c r="U20" s="90">
        <f t="shared" si="36"/>
        <v>0</v>
      </c>
      <c r="V20" s="90">
        <f t="shared" si="37"/>
        <v>0</v>
      </c>
      <c r="W20" s="90">
        <f t="shared" si="38"/>
        <v>0</v>
      </c>
      <c r="X20" s="90">
        <f t="shared" si="39"/>
        <v>0</v>
      </c>
      <c r="Y20" s="90">
        <f t="shared" si="40"/>
        <v>0</v>
      </c>
      <c r="Z20" s="90">
        <f t="shared" si="41"/>
        <v>0</v>
      </c>
      <c r="AA20" s="102"/>
      <c r="AB20" s="90">
        <f>IF(J20&gt;=0,S20,0)</f>
        <v>0</v>
      </c>
      <c r="AC20" s="90">
        <f>IF(J20&gt;=1,S20,0)</f>
        <v>0</v>
      </c>
      <c r="AD20" s="90">
        <f t="shared" si="44"/>
        <v>0</v>
      </c>
      <c r="AE20" s="90">
        <f t="shared" si="45"/>
        <v>0</v>
      </c>
      <c r="AF20" s="90">
        <f t="shared" si="46"/>
        <v>0</v>
      </c>
      <c r="AG20" s="90">
        <f t="shared" si="47"/>
        <v>0</v>
      </c>
      <c r="AH20" s="44"/>
      <c r="AI20" s="45"/>
      <c r="AJ20" s="45"/>
    </row>
    <row r="21" spans="1:36" s="2" customFormat="1" x14ac:dyDescent="0.2">
      <c r="A21" s="150"/>
      <c r="B21" s="150"/>
      <c r="C21" s="150"/>
      <c r="D21" s="151"/>
      <c r="E21" s="150"/>
      <c r="F21" s="150"/>
      <c r="G21" s="153"/>
      <c r="H21" s="148"/>
      <c r="I21" s="150"/>
      <c r="J21" s="150"/>
      <c r="K21" s="150"/>
      <c r="L21" s="150"/>
      <c r="M21" s="151"/>
      <c r="N21" s="160"/>
      <c r="O21" s="140">
        <v>0</v>
      </c>
      <c r="P21" s="140">
        <v>0</v>
      </c>
      <c r="Q21" s="140">
        <v>0.6</v>
      </c>
      <c r="R21" s="140">
        <v>0</v>
      </c>
      <c r="S21" s="90">
        <f t="shared" si="35"/>
        <v>0</v>
      </c>
      <c r="T21" s="91"/>
      <c r="U21" s="90">
        <f t="shared" si="36"/>
        <v>0</v>
      </c>
      <c r="V21" s="90">
        <f t="shared" si="37"/>
        <v>0</v>
      </c>
      <c r="W21" s="90">
        <f t="shared" si="38"/>
        <v>0</v>
      </c>
      <c r="X21" s="90">
        <f t="shared" si="39"/>
        <v>0</v>
      </c>
      <c r="Y21" s="90">
        <f t="shared" si="40"/>
        <v>0</v>
      </c>
      <c r="Z21" s="90">
        <f t="shared" si="41"/>
        <v>0</v>
      </c>
      <c r="AA21" s="102"/>
      <c r="AB21" s="90">
        <f t="shared" si="42"/>
        <v>0</v>
      </c>
      <c r="AC21" s="90">
        <f t="shared" si="43"/>
        <v>0</v>
      </c>
      <c r="AD21" s="90">
        <f t="shared" si="44"/>
        <v>0</v>
      </c>
      <c r="AE21" s="90">
        <f t="shared" si="45"/>
        <v>0</v>
      </c>
      <c r="AF21" s="90">
        <f t="shared" ref="AF21:AF29" si="48">IF(J21&gt;3,AD21,0)*(1-R21)</f>
        <v>0</v>
      </c>
      <c r="AG21" s="90">
        <f t="shared" si="47"/>
        <v>0</v>
      </c>
      <c r="AH21" s="44"/>
      <c r="AI21" s="45"/>
      <c r="AJ21" s="45"/>
    </row>
    <row r="22" spans="1:36" s="2" customFormat="1" x14ac:dyDescent="0.2">
      <c r="A22" s="150"/>
      <c r="B22" s="150"/>
      <c r="C22" s="150"/>
      <c r="D22" s="151"/>
      <c r="E22" s="150"/>
      <c r="F22" s="150"/>
      <c r="G22" s="154"/>
      <c r="H22" s="148"/>
      <c r="I22" s="154"/>
      <c r="J22" s="161"/>
      <c r="K22" s="161"/>
      <c r="L22" s="150"/>
      <c r="M22" s="151"/>
      <c r="N22" s="160"/>
      <c r="O22" s="140">
        <v>0</v>
      </c>
      <c r="P22" s="140">
        <v>0</v>
      </c>
      <c r="Q22" s="140">
        <v>0.6</v>
      </c>
      <c r="R22" s="140">
        <v>0</v>
      </c>
      <c r="S22" s="90">
        <f t="shared" si="35"/>
        <v>0</v>
      </c>
      <c r="T22" s="91"/>
      <c r="U22" s="90">
        <f t="shared" si="36"/>
        <v>0</v>
      </c>
      <c r="V22" s="90">
        <f t="shared" si="37"/>
        <v>0</v>
      </c>
      <c r="W22" s="90">
        <f t="shared" si="38"/>
        <v>0</v>
      </c>
      <c r="X22" s="90">
        <f t="shared" si="39"/>
        <v>0</v>
      </c>
      <c r="Y22" s="90">
        <f t="shared" si="40"/>
        <v>0</v>
      </c>
      <c r="Z22" s="90">
        <f t="shared" si="41"/>
        <v>0</v>
      </c>
      <c r="AA22" s="102"/>
      <c r="AB22" s="90">
        <f t="shared" si="42"/>
        <v>0</v>
      </c>
      <c r="AC22" s="90">
        <f t="shared" si="43"/>
        <v>0</v>
      </c>
      <c r="AD22" s="90">
        <f t="shared" si="44"/>
        <v>0</v>
      </c>
      <c r="AE22" s="90">
        <f t="shared" si="45"/>
        <v>0</v>
      </c>
      <c r="AF22" s="90">
        <f t="shared" si="48"/>
        <v>0</v>
      </c>
      <c r="AG22" s="90">
        <f t="shared" si="47"/>
        <v>0</v>
      </c>
      <c r="AH22" s="44"/>
      <c r="AI22" s="45"/>
      <c r="AJ22" s="45"/>
    </row>
    <row r="23" spans="1:36" s="2" customFormat="1" ht="34.9" customHeight="1" x14ac:dyDescent="0.2">
      <c r="A23" s="150"/>
      <c r="B23" s="150"/>
      <c r="C23" s="150"/>
      <c r="D23" s="151"/>
      <c r="E23" s="150"/>
      <c r="F23" s="150"/>
      <c r="G23" s="153"/>
      <c r="H23" s="148"/>
      <c r="I23" s="153"/>
      <c r="J23" s="150"/>
      <c r="K23" s="150"/>
      <c r="L23" s="162" t="s">
        <v>143</v>
      </c>
      <c r="M23" s="163">
        <v>-3000</v>
      </c>
      <c r="N23" s="164" t="s">
        <v>140</v>
      </c>
      <c r="O23" s="140">
        <v>0</v>
      </c>
      <c r="P23" s="140">
        <v>0</v>
      </c>
      <c r="Q23" s="140">
        <v>0</v>
      </c>
      <c r="R23" s="140">
        <v>0</v>
      </c>
      <c r="S23" s="90">
        <f t="shared" si="35"/>
        <v>0</v>
      </c>
      <c r="T23" s="91"/>
      <c r="U23" s="90">
        <f t="shared" ref="U23:U24" si="49">IF(K23=1,AB23,0)</f>
        <v>0</v>
      </c>
      <c r="V23" s="90">
        <f t="shared" ref="V23:V24" si="50">IF(K23=1,AC23, AB23)</f>
        <v>0</v>
      </c>
      <c r="W23" s="90">
        <f t="shared" ref="W23:W24" si="51">AD23</f>
        <v>0</v>
      </c>
      <c r="X23" s="90">
        <f t="shared" ref="X23:X24" si="52">AE23</f>
        <v>0</v>
      </c>
      <c r="Y23" s="90">
        <f t="shared" ref="Y23:Y24" si="53">AF23</f>
        <v>0</v>
      </c>
      <c r="Z23" s="90">
        <f t="shared" ref="Z23:Z24" si="54">AG23</f>
        <v>0</v>
      </c>
      <c r="AA23" s="102"/>
      <c r="AB23" s="90">
        <f t="shared" ref="AB23:AB24" si="55">IF(J23&gt;=0,S23,0)</f>
        <v>0</v>
      </c>
      <c r="AC23" s="90">
        <f t="shared" ref="AC23:AC24" si="56">IF(J23&gt;=1,S23,0)</f>
        <v>0</v>
      </c>
      <c r="AD23" s="90">
        <f t="shared" ref="AD23:AD24" si="57">IF(J23&gt;1,AC23,0)*(1-R23)</f>
        <v>0</v>
      </c>
      <c r="AE23" s="90">
        <f t="shared" ref="AE23:AE24" si="58">IF(J23&gt;2,AD23,0)*(1-R23)</f>
        <v>0</v>
      </c>
      <c r="AF23" s="90">
        <f t="shared" ref="AF23:AF24" si="59">IF(J23&gt;3,AD23,0)*(1-R23)</f>
        <v>0</v>
      </c>
      <c r="AG23" s="90">
        <f t="shared" ref="AG23:AG24" si="60">IF(J23&gt;4,AF23,0)*(1-R23)</f>
        <v>0</v>
      </c>
      <c r="AH23" s="44"/>
      <c r="AI23" s="45"/>
      <c r="AJ23" s="45"/>
    </row>
    <row r="24" spans="1:36" s="2" customFormat="1" ht="29.25" customHeight="1" x14ac:dyDescent="0.2">
      <c r="A24" s="150"/>
      <c r="B24" s="150"/>
      <c r="C24" s="150"/>
      <c r="D24" s="151"/>
      <c r="E24" s="150"/>
      <c r="F24" s="150"/>
      <c r="G24" s="154"/>
      <c r="H24" s="148"/>
      <c r="I24" s="154"/>
      <c r="J24" s="165"/>
      <c r="K24" s="165"/>
      <c r="L24" s="150"/>
      <c r="M24" s="151"/>
      <c r="N24" s="150"/>
      <c r="O24" s="140">
        <v>0</v>
      </c>
      <c r="P24" s="140">
        <v>0</v>
      </c>
      <c r="Q24" s="140">
        <v>0.1</v>
      </c>
      <c r="R24" s="140">
        <v>0.2</v>
      </c>
      <c r="S24" s="141">
        <f t="shared" si="35"/>
        <v>0</v>
      </c>
      <c r="T24" s="91"/>
      <c r="U24" s="90">
        <f t="shared" si="49"/>
        <v>0</v>
      </c>
      <c r="V24" s="90">
        <f t="shared" si="50"/>
        <v>0</v>
      </c>
      <c r="W24" s="90">
        <f t="shared" si="51"/>
        <v>0</v>
      </c>
      <c r="X24" s="90">
        <f t="shared" si="52"/>
        <v>0</v>
      </c>
      <c r="Y24" s="90">
        <f t="shared" si="53"/>
        <v>0</v>
      </c>
      <c r="Z24" s="90">
        <f t="shared" si="54"/>
        <v>0</v>
      </c>
      <c r="AA24" s="102"/>
      <c r="AB24" s="90">
        <f t="shared" si="55"/>
        <v>0</v>
      </c>
      <c r="AC24" s="90">
        <f t="shared" si="56"/>
        <v>0</v>
      </c>
      <c r="AD24" s="90">
        <f t="shared" si="57"/>
        <v>0</v>
      </c>
      <c r="AE24" s="90">
        <f t="shared" si="58"/>
        <v>0</v>
      </c>
      <c r="AF24" s="90">
        <f t="shared" si="59"/>
        <v>0</v>
      </c>
      <c r="AG24" s="90">
        <f t="shared" si="60"/>
        <v>0</v>
      </c>
      <c r="AH24" s="44"/>
      <c r="AI24" s="45"/>
      <c r="AJ24" s="45"/>
    </row>
    <row r="25" spans="1:36" s="2" customFormat="1" x14ac:dyDescent="0.2">
      <c r="A25" s="150"/>
      <c r="B25" s="150"/>
      <c r="C25" s="150"/>
      <c r="D25" s="151"/>
      <c r="E25" s="150"/>
      <c r="F25" s="150"/>
      <c r="G25" s="150"/>
      <c r="H25" s="148"/>
      <c r="I25" s="150"/>
      <c r="J25" s="150"/>
      <c r="K25" s="150"/>
      <c r="L25" s="150"/>
      <c r="M25" s="151">
        <f>15000*3</f>
        <v>45000</v>
      </c>
      <c r="N25" s="148" t="s">
        <v>139</v>
      </c>
      <c r="O25" s="140">
        <v>0</v>
      </c>
      <c r="P25" s="140">
        <v>0</v>
      </c>
      <c r="Q25" s="140">
        <v>0.3</v>
      </c>
      <c r="R25" s="140">
        <v>0</v>
      </c>
      <c r="S25" s="90">
        <f>+I25*M25*(1-O25)*(1-P25)*(1-Q25)</f>
        <v>0</v>
      </c>
      <c r="T25" s="91"/>
      <c r="U25" s="141">
        <f t="shared" si="36"/>
        <v>0</v>
      </c>
      <c r="V25" s="141">
        <f t="shared" si="37"/>
        <v>0</v>
      </c>
      <c r="W25" s="141">
        <f t="shared" si="38"/>
        <v>0</v>
      </c>
      <c r="X25" s="141">
        <f t="shared" si="39"/>
        <v>0</v>
      </c>
      <c r="Y25" s="141">
        <f t="shared" si="40"/>
        <v>0</v>
      </c>
      <c r="Z25" s="141">
        <f t="shared" si="41"/>
        <v>0</v>
      </c>
      <c r="AA25" s="142"/>
      <c r="AB25" s="141">
        <f>IF(J25&gt;=0,S25,0)</f>
        <v>0</v>
      </c>
      <c r="AC25" s="141">
        <f>IF(J25&gt;=1,S25,0)</f>
        <v>0</v>
      </c>
      <c r="AD25" s="141">
        <f t="shared" si="44"/>
        <v>0</v>
      </c>
      <c r="AE25" s="141">
        <f t="shared" si="45"/>
        <v>0</v>
      </c>
      <c r="AF25" s="141">
        <f t="shared" si="48"/>
        <v>0</v>
      </c>
      <c r="AG25" s="141">
        <f t="shared" si="47"/>
        <v>0</v>
      </c>
      <c r="AH25" s="44"/>
      <c r="AI25" s="45"/>
      <c r="AJ25" s="45"/>
    </row>
    <row r="26" spans="1:36" s="139" customFormat="1" x14ac:dyDescent="0.2">
      <c r="A26" s="150"/>
      <c r="B26" s="150"/>
      <c r="C26" s="150"/>
      <c r="D26" s="151"/>
      <c r="E26" s="150"/>
      <c r="F26" s="150"/>
      <c r="G26" s="150"/>
      <c r="H26" s="148"/>
      <c r="I26" s="150"/>
      <c r="J26" s="150"/>
      <c r="K26" s="150"/>
      <c r="L26" s="150"/>
      <c r="M26" s="151">
        <v>10000</v>
      </c>
      <c r="N26" s="148"/>
      <c r="O26" s="140">
        <v>0</v>
      </c>
      <c r="P26" s="140">
        <v>0</v>
      </c>
      <c r="Q26" s="140">
        <v>0</v>
      </c>
      <c r="R26" s="140">
        <v>0</v>
      </c>
      <c r="S26" s="90">
        <f t="shared" ref="S26:S27" si="61">+I26*M26*(1-O26)*(1-P26)*(1-Q26)</f>
        <v>0</v>
      </c>
      <c r="T26" s="136"/>
      <c r="U26" s="141">
        <f t="shared" ref="U26" si="62">IF(K26=1,AB26,0)</f>
        <v>0</v>
      </c>
      <c r="V26" s="141">
        <f t="shared" ref="V26" si="63">IF(K26=1,AC26, AB26)</f>
        <v>0</v>
      </c>
      <c r="W26" s="141">
        <f t="shared" ref="W26" si="64">AD26</f>
        <v>0</v>
      </c>
      <c r="X26" s="141">
        <f t="shared" ref="X26" si="65">AE26</f>
        <v>0</v>
      </c>
      <c r="Y26" s="141">
        <f t="shared" ref="Y26" si="66">AF26</f>
        <v>0</v>
      </c>
      <c r="Z26" s="141">
        <f t="shared" ref="Z26" si="67">AG26</f>
        <v>0</v>
      </c>
      <c r="AA26" s="142"/>
      <c r="AB26" s="141">
        <f t="shared" ref="AB26" si="68">IF(J26&gt;=0,S26,0)</f>
        <v>0</v>
      </c>
      <c r="AC26" s="141">
        <f t="shared" ref="AC26" si="69">IF(J26&gt;=1,S26,0)</f>
        <v>0</v>
      </c>
      <c r="AD26" s="141">
        <f t="shared" ref="AD26" si="70">IF(J26&gt;1,AC26,0)*(1-R26)</f>
        <v>0</v>
      </c>
      <c r="AE26" s="141">
        <f t="shared" ref="AE26" si="71">IF(J26&gt;2,AD26,0)*(1-R26)</f>
        <v>0</v>
      </c>
      <c r="AF26" s="141">
        <f t="shared" ref="AF26" si="72">IF(J26&gt;3,AD26,0)*(1-R26)</f>
        <v>0</v>
      </c>
      <c r="AG26" s="141">
        <f t="shared" ref="AG26" si="73">IF(J26&gt;4,AF26,0)*(1-R26)</f>
        <v>0</v>
      </c>
      <c r="AH26" s="137"/>
      <c r="AI26" s="138"/>
      <c r="AJ26" s="138"/>
    </row>
    <row r="27" spans="1:36" s="139" customFormat="1" x14ac:dyDescent="0.2">
      <c r="A27" s="150"/>
      <c r="B27" s="150"/>
      <c r="C27" s="150"/>
      <c r="D27" s="151"/>
      <c r="E27" s="150"/>
      <c r="F27" s="150"/>
      <c r="G27" s="150"/>
      <c r="H27" s="148"/>
      <c r="I27" s="148"/>
      <c r="J27" s="150"/>
      <c r="K27" s="150"/>
      <c r="L27" s="150"/>
      <c r="M27" s="151">
        <v>76.98</v>
      </c>
      <c r="N27" s="148" t="s">
        <v>142</v>
      </c>
      <c r="O27" s="140">
        <v>0</v>
      </c>
      <c r="P27" s="140">
        <v>0</v>
      </c>
      <c r="Q27" s="140">
        <v>0</v>
      </c>
      <c r="R27" s="140">
        <v>0</v>
      </c>
      <c r="S27" s="90">
        <f t="shared" si="61"/>
        <v>0</v>
      </c>
      <c r="T27" s="136"/>
      <c r="U27" s="141">
        <f t="shared" ref="U27" si="74">IF(K27=1,AB27,0)</f>
        <v>0</v>
      </c>
      <c r="V27" s="141">
        <f t="shared" ref="V27" si="75">IF(K27=1,AC27, AB27)</f>
        <v>0</v>
      </c>
      <c r="W27" s="141">
        <f t="shared" ref="W27" si="76">AD27</f>
        <v>0</v>
      </c>
      <c r="X27" s="141">
        <f t="shared" ref="X27" si="77">AE27</f>
        <v>0</v>
      </c>
      <c r="Y27" s="141">
        <f t="shared" ref="Y27" si="78">AF27</f>
        <v>0</v>
      </c>
      <c r="Z27" s="141">
        <f t="shared" ref="Z27" si="79">AG27</f>
        <v>0</v>
      </c>
      <c r="AA27" s="142"/>
      <c r="AB27" s="141">
        <f t="shared" ref="AB27" si="80">IF(J27&gt;=0,S27,0)</f>
        <v>0</v>
      </c>
      <c r="AC27" s="141">
        <f t="shared" ref="AC27" si="81">IF(J27&gt;=1,S27,0)</f>
        <v>0</v>
      </c>
      <c r="AD27" s="141">
        <f t="shared" ref="AD27" si="82">IF(J27&gt;1,AC27,0)*(1-R27)</f>
        <v>0</v>
      </c>
      <c r="AE27" s="141">
        <f t="shared" ref="AE27" si="83">IF(J27&gt;2,AD27,0)*(1-R27)</f>
        <v>0</v>
      </c>
      <c r="AF27" s="141">
        <f t="shared" ref="AF27" si="84">IF(J27&gt;3,AD27,0)*(1-R27)</f>
        <v>0</v>
      </c>
      <c r="AG27" s="141">
        <f t="shared" ref="AG27" si="85">IF(J27&gt;4,AF27,0)*(1-R27)</f>
        <v>0</v>
      </c>
      <c r="AH27" s="137"/>
      <c r="AI27" s="138"/>
      <c r="AJ27" s="138"/>
    </row>
    <row r="28" spans="1:36" s="139" customFormat="1" x14ac:dyDescent="0.2">
      <c r="A28" s="150"/>
      <c r="B28" s="150"/>
      <c r="C28" s="150"/>
      <c r="D28" s="151"/>
      <c r="E28" s="150"/>
      <c r="F28" s="150"/>
      <c r="G28" s="150"/>
      <c r="H28" s="148"/>
      <c r="I28" s="148"/>
      <c r="J28" s="150"/>
      <c r="K28" s="150"/>
      <c r="L28" s="150"/>
      <c r="M28" s="151">
        <f>20*2*(-350/8)</f>
        <v>-1750</v>
      </c>
      <c r="N28" s="148" t="s">
        <v>139</v>
      </c>
      <c r="O28" s="140">
        <v>0</v>
      </c>
      <c r="P28" s="140">
        <v>0</v>
      </c>
      <c r="Q28" s="140">
        <v>0</v>
      </c>
      <c r="R28" s="140">
        <v>0</v>
      </c>
      <c r="S28" s="90">
        <f t="shared" ref="S28" si="86">+I28*M28*(1-O28)*(1-P28)*(1-Q28)</f>
        <v>0</v>
      </c>
      <c r="T28" s="136"/>
      <c r="U28" s="141">
        <f t="shared" ref="U28" si="87">IF(K28=1,AB28,0)</f>
        <v>0</v>
      </c>
      <c r="V28" s="141">
        <f t="shared" ref="V28" si="88">IF(K28=1,AC28, AB28)</f>
        <v>0</v>
      </c>
      <c r="W28" s="141">
        <f t="shared" ref="W28" si="89">AD28</f>
        <v>0</v>
      </c>
      <c r="X28" s="141">
        <f t="shared" ref="X28" si="90">AE28</f>
        <v>0</v>
      </c>
      <c r="Y28" s="141">
        <f t="shared" ref="Y28" si="91">AF28</f>
        <v>0</v>
      </c>
      <c r="Z28" s="141">
        <f t="shared" ref="Z28" si="92">AG28</f>
        <v>0</v>
      </c>
      <c r="AA28" s="142"/>
      <c r="AB28" s="141">
        <f t="shared" ref="AB28" si="93">IF(J28&gt;=0,S28,0)</f>
        <v>0</v>
      </c>
      <c r="AC28" s="141">
        <f t="shared" ref="AC28" si="94">IF(J28&gt;=1,S28,0)</f>
        <v>0</v>
      </c>
      <c r="AD28" s="141">
        <f t="shared" ref="AD28" si="95">IF(J28&gt;1,AC28,0)*(1-R28)</f>
        <v>0</v>
      </c>
      <c r="AE28" s="141">
        <f t="shared" ref="AE28" si="96">IF(J28&gt;2,AD28,0)*(1-R28)</f>
        <v>0</v>
      </c>
      <c r="AF28" s="141">
        <f t="shared" ref="AF28" si="97">IF(J28&gt;3,AD28,0)*(1-R28)</f>
        <v>0</v>
      </c>
      <c r="AG28" s="141">
        <f t="shared" ref="AG28" si="98">IF(J28&gt;4,AF28,0)*(1-R28)</f>
        <v>0</v>
      </c>
      <c r="AH28" s="137"/>
      <c r="AI28" s="138"/>
      <c r="AJ28" s="138"/>
    </row>
    <row r="29" spans="1:36" s="2" customFormat="1" ht="16.149999999999999" customHeight="1" x14ac:dyDescent="0.2">
      <c r="A29" s="1" t="s">
        <v>97</v>
      </c>
      <c r="B29" s="1"/>
      <c r="C29" s="1"/>
      <c r="D29" s="1"/>
      <c r="E29" s="1"/>
      <c r="F29" s="1"/>
      <c r="G29" s="1"/>
      <c r="H29" s="1"/>
      <c r="I29" s="1"/>
      <c r="J29" s="1"/>
      <c r="K29" s="1"/>
      <c r="L29" s="1"/>
      <c r="M29" s="88"/>
      <c r="N29" s="130"/>
      <c r="O29" s="66">
        <v>0</v>
      </c>
      <c r="P29" s="66">
        <v>0</v>
      </c>
      <c r="Q29" s="66">
        <v>0</v>
      </c>
      <c r="R29" s="66">
        <v>0</v>
      </c>
      <c r="S29" s="90">
        <f t="shared" si="35"/>
        <v>0</v>
      </c>
      <c r="T29" s="91"/>
      <c r="U29" s="141">
        <f t="shared" si="36"/>
        <v>0</v>
      </c>
      <c r="V29" s="141">
        <f t="shared" si="37"/>
        <v>0</v>
      </c>
      <c r="W29" s="141">
        <f t="shared" si="38"/>
        <v>0</v>
      </c>
      <c r="X29" s="141">
        <f t="shared" si="39"/>
        <v>0</v>
      </c>
      <c r="Y29" s="141">
        <f t="shared" si="40"/>
        <v>0</v>
      </c>
      <c r="Z29" s="141">
        <f t="shared" si="41"/>
        <v>0</v>
      </c>
      <c r="AA29" s="142"/>
      <c r="AB29" s="141">
        <f t="shared" si="42"/>
        <v>0</v>
      </c>
      <c r="AC29" s="141">
        <f t="shared" si="43"/>
        <v>0</v>
      </c>
      <c r="AD29" s="141">
        <f t="shared" si="44"/>
        <v>0</v>
      </c>
      <c r="AE29" s="141">
        <f t="shared" si="45"/>
        <v>0</v>
      </c>
      <c r="AF29" s="141">
        <f t="shared" si="48"/>
        <v>0</v>
      </c>
      <c r="AG29" s="141">
        <f t="shared" si="47"/>
        <v>0</v>
      </c>
      <c r="AH29" s="44"/>
      <c r="AI29" s="45"/>
      <c r="AJ29" s="45"/>
    </row>
    <row r="30" spans="1:36" x14ac:dyDescent="0.2">
      <c r="A30" s="1"/>
      <c r="B30" s="1"/>
      <c r="C30" s="1"/>
      <c r="D30" s="88"/>
      <c r="E30" s="1"/>
      <c r="F30" s="1"/>
      <c r="G30" s="1"/>
      <c r="O30" s="67"/>
      <c r="P30" s="67"/>
      <c r="Q30" s="67"/>
      <c r="R30" s="67"/>
      <c r="S30" s="92"/>
      <c r="T30" s="93"/>
      <c r="U30" s="166"/>
      <c r="V30" s="166"/>
      <c r="W30" s="166"/>
      <c r="X30" s="166"/>
      <c r="Y30" s="166"/>
      <c r="Z30" s="166"/>
      <c r="AA30" s="166"/>
      <c r="AB30" s="166"/>
      <c r="AC30" s="166"/>
      <c r="AD30" s="166"/>
      <c r="AE30" s="166"/>
      <c r="AF30" s="166"/>
      <c r="AG30" s="166"/>
    </row>
    <row r="31" spans="1:36" ht="15.75" x14ac:dyDescent="0.25">
      <c r="A31" s="1"/>
      <c r="B31" s="1"/>
      <c r="C31" s="1"/>
      <c r="D31" s="88"/>
      <c r="E31" s="1"/>
      <c r="F31" s="1"/>
      <c r="O31" s="67"/>
      <c r="P31" s="67"/>
      <c r="Q31" s="67"/>
      <c r="R31" s="82" t="s">
        <v>7</v>
      </c>
      <c r="S31" s="89">
        <f>SUM(S9:S29)</f>
        <v>25170075</v>
      </c>
      <c r="T31" s="93"/>
      <c r="U31" s="167">
        <f t="shared" ref="U31:Z31" si="99">SUM(U9:U29)</f>
        <v>0</v>
      </c>
      <c r="V31" s="167">
        <f t="shared" si="99"/>
        <v>25170075</v>
      </c>
      <c r="W31" s="167">
        <f t="shared" si="99"/>
        <v>20461707.5</v>
      </c>
      <c r="X31" s="167">
        <f t="shared" si="99"/>
        <v>14843286.75</v>
      </c>
      <c r="Y31" s="167">
        <f t="shared" si="99"/>
        <v>288067.67499999999</v>
      </c>
      <c r="Z31" s="167">
        <f t="shared" si="99"/>
        <v>253982.58749999999</v>
      </c>
      <c r="AA31" s="166"/>
      <c r="AB31" s="166"/>
      <c r="AC31" s="166"/>
      <c r="AD31" s="166"/>
      <c r="AE31" s="166"/>
      <c r="AF31" s="166"/>
      <c r="AG31" s="166"/>
    </row>
    <row r="32" spans="1:36" x14ac:dyDescent="0.2">
      <c r="T32" s="75"/>
      <c r="U32" s="168"/>
      <c r="V32" s="168"/>
      <c r="W32" s="168"/>
      <c r="X32" s="168"/>
      <c r="Y32" s="168"/>
      <c r="Z32" s="169"/>
      <c r="AA32" s="146"/>
      <c r="AB32" s="168"/>
      <c r="AC32" s="168"/>
      <c r="AD32" s="168"/>
      <c r="AE32" s="168"/>
      <c r="AF32" s="168"/>
      <c r="AG32" s="169"/>
    </row>
    <row r="33" spans="1:33" ht="19.899999999999999" customHeight="1" x14ac:dyDescent="0.25">
      <c r="A33" s="82" t="s">
        <v>7</v>
      </c>
      <c r="D33" s="89">
        <f>SUM(D9:D31)</f>
        <v>554500</v>
      </c>
      <c r="R33" s="83" t="s">
        <v>8</v>
      </c>
      <c r="S33" s="78"/>
      <c r="T33" s="80"/>
      <c r="U33" s="167">
        <f>+U31</f>
        <v>0</v>
      </c>
      <c r="V33" s="167">
        <f>+V31/(1+W7)</f>
        <v>23932751.735285725</v>
      </c>
      <c r="W33" s="167">
        <f>+W31/((1+W7)*(1+W7))</f>
        <v>18499420.50383316</v>
      </c>
      <c r="X33" s="167">
        <f>+X31/((1+W7)*(1+W7)*(1+W7))</f>
        <v>12760111.098979717</v>
      </c>
      <c r="Y33" s="167">
        <f>+Y31/((1+W7)*(1+W7)*(1+W7)*(1+W7))</f>
        <v>235465.3632148052</v>
      </c>
      <c r="Z33" s="167">
        <f>+Z31/((1+W7)*(1+W7)*(1+W7)*(1+W7)*(1+W7))</f>
        <v>197398.82977687666</v>
      </c>
      <c r="AA33" s="170"/>
      <c r="AB33" s="166"/>
      <c r="AC33" s="166"/>
      <c r="AD33" s="166"/>
      <c r="AE33" s="166"/>
      <c r="AF33" s="166"/>
      <c r="AG33" s="166"/>
    </row>
    <row r="34" spans="1:33" ht="19.899999999999999" customHeight="1" x14ac:dyDescent="0.2">
      <c r="R34" s="84" t="s">
        <v>9</v>
      </c>
      <c r="S34" s="77"/>
      <c r="T34" s="79"/>
      <c r="U34" s="171"/>
      <c r="V34" s="172"/>
      <c r="W34" s="172"/>
      <c r="X34" s="172"/>
      <c r="Y34" s="173"/>
      <c r="Z34" s="167">
        <f>SUM(U33:Z33)</f>
        <v>55625147.531090289</v>
      </c>
      <c r="AA34" s="146"/>
      <c r="AB34" s="166"/>
      <c r="AC34" s="166"/>
      <c r="AD34" s="166"/>
      <c r="AE34" s="166"/>
      <c r="AF34" s="166"/>
      <c r="AG34" s="166"/>
    </row>
    <row r="35" spans="1:33" ht="19.899999999999999" customHeight="1" x14ac:dyDescent="0.2">
      <c r="R35" s="85" t="s">
        <v>51</v>
      </c>
      <c r="S35" s="79"/>
      <c r="T35" s="3"/>
      <c r="U35" s="174"/>
      <c r="V35" s="166"/>
      <c r="W35" s="166"/>
      <c r="X35" s="166"/>
      <c r="Y35" s="166"/>
      <c r="Z35" s="175">
        <f>+Z34-D33</f>
        <v>55070647.531090289</v>
      </c>
      <c r="AA35" s="146"/>
      <c r="AB35" s="166"/>
      <c r="AC35" s="166"/>
      <c r="AD35" s="166"/>
      <c r="AE35" s="166"/>
      <c r="AF35" s="166"/>
      <c r="AG35" s="176"/>
    </row>
    <row r="36" spans="1:33" ht="19.899999999999999" customHeight="1" x14ac:dyDescent="0.2">
      <c r="R36" s="86" t="s">
        <v>52</v>
      </c>
      <c r="S36" s="77"/>
      <c r="T36" s="3"/>
      <c r="U36" s="177"/>
      <c r="V36" s="172"/>
      <c r="W36" s="172"/>
      <c r="X36" s="172"/>
      <c r="Y36" s="173"/>
      <c r="Z36" s="178"/>
      <c r="AA36" s="146"/>
      <c r="AB36" s="166"/>
      <c r="AC36" s="166"/>
      <c r="AD36" s="166"/>
      <c r="AE36" s="166"/>
      <c r="AF36" s="166"/>
      <c r="AG36" s="176"/>
    </row>
    <row r="37" spans="1:33" ht="19.899999999999999" customHeight="1" x14ac:dyDescent="0.2">
      <c r="R37" s="85" t="s">
        <v>53</v>
      </c>
      <c r="S37" s="79"/>
      <c r="T37" s="3"/>
      <c r="U37" s="170"/>
      <c r="V37" s="146"/>
      <c r="W37" s="146"/>
      <c r="X37" s="146"/>
      <c r="Y37" s="146"/>
      <c r="Z37" s="175">
        <f>+Z34/D33</f>
        <v>100.31586570079403</v>
      </c>
      <c r="AA37" s="146"/>
      <c r="AB37" s="146"/>
      <c r="AC37" s="146"/>
      <c r="AD37" s="146"/>
      <c r="AE37" s="146"/>
      <c r="AF37" s="146"/>
      <c r="AG37" s="176"/>
    </row>
    <row r="38" spans="1:33" ht="19.899999999999999" customHeight="1" x14ac:dyDescent="0.2">
      <c r="R38" s="87" t="s">
        <v>92</v>
      </c>
      <c r="S38" s="77"/>
      <c r="T38" s="80"/>
      <c r="U38" s="179"/>
      <c r="V38" s="180"/>
      <c r="W38" s="180"/>
      <c r="X38" s="180"/>
      <c r="Y38" s="180"/>
      <c r="Z38" s="181"/>
      <c r="AA38" s="170"/>
      <c r="AB38" s="146"/>
      <c r="AC38" s="146"/>
      <c r="AD38" s="146"/>
      <c r="AE38" s="146"/>
      <c r="AF38" s="146"/>
      <c r="AG38" s="146"/>
    </row>
    <row r="39" spans="1:33" x14ac:dyDescent="0.2">
      <c r="T39" s="76"/>
    </row>
    <row r="41" spans="1:33" x14ac:dyDescent="0.2">
      <c r="AC41" s="74"/>
      <c r="AD41" s="74"/>
      <c r="AE41" s="74"/>
      <c r="AF41" s="74"/>
    </row>
    <row r="42" spans="1:33" x14ac:dyDescent="0.2">
      <c r="AC42" s="74"/>
      <c r="AD42" s="74"/>
      <c r="AE42" s="74"/>
      <c r="AF42" s="74"/>
    </row>
    <row r="43" spans="1:33" x14ac:dyDescent="0.2">
      <c r="AC43" s="74"/>
      <c r="AD43" s="74"/>
      <c r="AE43" s="74"/>
      <c r="AF43" s="74"/>
    </row>
    <row r="44" spans="1:33" x14ac:dyDescent="0.2">
      <c r="AB44" s="4"/>
      <c r="AC44" s="4"/>
      <c r="AD44" s="4"/>
      <c r="AE44" s="4"/>
      <c r="AF44" s="4"/>
    </row>
  </sheetData>
  <mergeCells count="12">
    <mergeCell ref="P7:P8"/>
    <mergeCell ref="O7:O8"/>
    <mergeCell ref="O5:P5"/>
    <mergeCell ref="AB7:AC7"/>
    <mergeCell ref="S7:S8"/>
    <mergeCell ref="AB6:AG6"/>
    <mergeCell ref="AF7:AG7"/>
    <mergeCell ref="R7:R8"/>
    <mergeCell ref="Q7:Q8"/>
    <mergeCell ref="U6:Z6"/>
    <mergeCell ref="U7:V7"/>
    <mergeCell ref="Y7:Z7"/>
  </mergeCells>
  <phoneticPr fontId="0" type="noConversion"/>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A1935-4532-442B-A4F5-EACDE4D5FC1E}">
  <dimension ref="F3:O25"/>
  <sheetViews>
    <sheetView workbookViewId="0">
      <selection activeCell="N20" sqref="N20:N25"/>
    </sheetView>
  </sheetViews>
  <sheetFormatPr defaultColWidth="8.7109375" defaultRowHeight="12.75" x14ac:dyDescent="0.2"/>
  <cols>
    <col min="6" max="6" width="15.140625" customWidth="1"/>
    <col min="7" max="7" width="15.42578125" customWidth="1"/>
    <col min="8" max="8" width="16.42578125" customWidth="1"/>
    <col min="9" max="9" width="15.140625" customWidth="1"/>
    <col min="10" max="10" width="20.140625" customWidth="1"/>
    <col min="11" max="11" width="17.28515625" customWidth="1"/>
  </cols>
  <sheetData>
    <row r="3" spans="10:15" ht="25.5" x14ac:dyDescent="0.2">
      <c r="J3" s="90" t="e">
        <f t="shared" ref="J3" si="0">IF(#REF!=1,Q3,0)</f>
        <v>#REF!</v>
      </c>
      <c r="K3" s="90" t="e">
        <f t="shared" ref="K3" si="1">IF(#REF!=1,R3, Q3)</f>
        <v>#REF!</v>
      </c>
      <c r="L3" s="90">
        <f t="shared" ref="L3:O8" si="2">S3</f>
        <v>0</v>
      </c>
      <c r="M3" s="90">
        <f t="shared" si="2"/>
        <v>0</v>
      </c>
      <c r="N3" s="90">
        <f t="shared" si="2"/>
        <v>0</v>
      </c>
      <c r="O3" s="90">
        <f t="shared" si="2"/>
        <v>0</v>
      </c>
    </row>
    <row r="4" spans="10:15" ht="25.5" x14ac:dyDescent="0.2">
      <c r="J4" s="90" t="e">
        <f t="shared" ref="J4:J8" si="3">IF(#REF!=1,Q4,0)</f>
        <v>#REF!</v>
      </c>
      <c r="K4" s="90" t="e">
        <f t="shared" ref="K4:K8" si="4">IF(#REF!=1,R4, Q4)</f>
        <v>#REF!</v>
      </c>
      <c r="L4" s="90">
        <f t="shared" si="2"/>
        <v>0</v>
      </c>
      <c r="M4" s="90">
        <f t="shared" si="2"/>
        <v>0</v>
      </c>
      <c r="N4" s="90">
        <f t="shared" si="2"/>
        <v>0</v>
      </c>
      <c r="O4" s="90">
        <f t="shared" si="2"/>
        <v>0</v>
      </c>
    </row>
    <row r="5" spans="10:15" ht="25.5" x14ac:dyDescent="0.2">
      <c r="J5" s="90" t="e">
        <f t="shared" ref="J5:J8" si="5">IF(#REF!=1,Q5,0)</f>
        <v>#REF!</v>
      </c>
      <c r="K5" s="90" t="e">
        <f t="shared" ref="K5:K8" si="6">IF(#REF!=1,R5, Q5)</f>
        <v>#REF!</v>
      </c>
      <c r="L5" s="90">
        <f t="shared" si="2"/>
        <v>0</v>
      </c>
      <c r="M5" s="90">
        <f t="shared" si="2"/>
        <v>0</v>
      </c>
      <c r="N5" s="90">
        <f t="shared" si="2"/>
        <v>0</v>
      </c>
      <c r="O5" s="90">
        <f t="shared" si="2"/>
        <v>0</v>
      </c>
    </row>
    <row r="6" spans="10:15" ht="25.5" x14ac:dyDescent="0.2">
      <c r="J6" s="90" t="e">
        <f t="shared" ref="J6:J8" si="7">IF(#REF!=1,Q6,0)</f>
        <v>#REF!</v>
      </c>
      <c r="K6" s="90" t="e">
        <f t="shared" ref="K6:K8" si="8">IF(#REF!=1,R6, Q6)</f>
        <v>#REF!</v>
      </c>
      <c r="L6" s="90">
        <f t="shared" si="2"/>
        <v>0</v>
      </c>
      <c r="M6" s="90">
        <f t="shared" si="2"/>
        <v>0</v>
      </c>
      <c r="N6" s="90">
        <f t="shared" si="2"/>
        <v>0</v>
      </c>
      <c r="O6" s="90">
        <f t="shared" si="2"/>
        <v>0</v>
      </c>
    </row>
    <row r="7" spans="10:15" ht="25.5" x14ac:dyDescent="0.2">
      <c r="J7" s="90" t="e">
        <f t="shared" ref="J7:J8" si="9">IF(#REF!=1,Q7,0)</f>
        <v>#REF!</v>
      </c>
      <c r="K7" s="90" t="e">
        <f t="shared" ref="K7:K8" si="10">IF(#REF!=1,R7, Q7)</f>
        <v>#REF!</v>
      </c>
      <c r="L7" s="90">
        <f t="shared" si="2"/>
        <v>0</v>
      </c>
      <c r="M7" s="90">
        <f t="shared" si="2"/>
        <v>0</v>
      </c>
      <c r="N7" s="90">
        <f t="shared" si="2"/>
        <v>0</v>
      </c>
      <c r="O7" s="90">
        <f t="shared" si="2"/>
        <v>0</v>
      </c>
    </row>
    <row r="8" spans="10:15" ht="25.5" x14ac:dyDescent="0.2">
      <c r="J8" s="90" t="e">
        <f t="shared" ref="J8" si="11">IF(#REF!=1,Q8,0)</f>
        <v>#REF!</v>
      </c>
      <c r="K8" s="90" t="e">
        <f t="shared" ref="K8" si="12">IF(#REF!=1,R8, Q8)</f>
        <v>#REF!</v>
      </c>
      <c r="L8" s="90">
        <f t="shared" si="2"/>
        <v>0</v>
      </c>
      <c r="M8" s="90">
        <f t="shared" si="2"/>
        <v>0</v>
      </c>
      <c r="N8" s="90">
        <f t="shared" si="2"/>
        <v>0</v>
      </c>
      <c r="O8" s="90">
        <f t="shared" si="2"/>
        <v>0</v>
      </c>
    </row>
    <row r="19" spans="6:14" ht="13.5" thickBot="1" x14ac:dyDescent="0.25"/>
    <row r="20" spans="6:14" ht="26.25" thickBot="1" x14ac:dyDescent="0.25">
      <c r="F20" s="248">
        <v>0</v>
      </c>
      <c r="G20" s="249">
        <v>1805000</v>
      </c>
      <c r="H20" s="249">
        <v>1714750</v>
      </c>
      <c r="I20" s="250">
        <v>0</v>
      </c>
      <c r="J20" s="250">
        <v>0</v>
      </c>
      <c r="K20" s="250">
        <v>0</v>
      </c>
      <c r="N20">
        <f>SUM(F20:M20)</f>
        <v>3519750</v>
      </c>
    </row>
    <row r="21" spans="6:14" ht="26.25" thickBot="1" x14ac:dyDescent="0.25">
      <c r="F21" s="251">
        <v>0</v>
      </c>
      <c r="G21" s="252">
        <v>252700</v>
      </c>
      <c r="H21" s="252">
        <v>227430</v>
      </c>
      <c r="I21" s="253">
        <v>0</v>
      </c>
      <c r="J21" s="253">
        <v>0</v>
      </c>
      <c r="K21" s="253">
        <v>0</v>
      </c>
      <c r="N21">
        <f>SUM(F21:M21)</f>
        <v>480130</v>
      </c>
    </row>
    <row r="22" spans="6:14" ht="26.25" thickBot="1" x14ac:dyDescent="0.25">
      <c r="F22" s="251">
        <v>0</v>
      </c>
      <c r="G22" s="252">
        <v>36100</v>
      </c>
      <c r="H22" s="252">
        <v>28880</v>
      </c>
      <c r="I22" s="252">
        <v>23104</v>
      </c>
      <c r="J22" s="252">
        <v>18483.2</v>
      </c>
      <c r="K22" s="252">
        <v>14786.56</v>
      </c>
      <c r="N22">
        <f>SUM(F22:M22)</f>
        <v>121353.76</v>
      </c>
    </row>
    <row r="23" spans="6:14" ht="26.25" thickBot="1" x14ac:dyDescent="0.25">
      <c r="F23" s="251">
        <v>0</v>
      </c>
      <c r="G23" s="252">
        <v>22680000</v>
      </c>
      <c r="H23" s="252">
        <v>18144000</v>
      </c>
      <c r="I23" s="252">
        <v>14515200</v>
      </c>
      <c r="J23" s="253">
        <v>0</v>
      </c>
      <c r="K23" s="253">
        <v>0</v>
      </c>
      <c r="N23">
        <f>SUM(F23:M23)</f>
        <v>55339200</v>
      </c>
    </row>
    <row r="24" spans="6:14" ht="26.25" thickBot="1" x14ac:dyDescent="0.25">
      <c r="F24" s="251">
        <v>0</v>
      </c>
      <c r="G24" s="252">
        <v>346275</v>
      </c>
      <c r="H24" s="252">
        <v>311647.5</v>
      </c>
      <c r="I24" s="252">
        <v>280482.75</v>
      </c>
      <c r="J24" s="252">
        <v>252434.48</v>
      </c>
      <c r="K24" s="252">
        <v>227191.03</v>
      </c>
      <c r="N24">
        <f>SUM(F24:M24)</f>
        <v>1418030.76</v>
      </c>
    </row>
    <row r="25" spans="6:14" ht="26.25" thickBot="1" x14ac:dyDescent="0.25">
      <c r="F25" s="251">
        <v>0</v>
      </c>
      <c r="G25" s="252">
        <v>50000</v>
      </c>
      <c r="H25" s="252">
        <v>35000</v>
      </c>
      <c r="I25" s="252">
        <v>24500</v>
      </c>
      <c r="J25" s="252">
        <v>17150</v>
      </c>
      <c r="K25" s="252">
        <v>12005</v>
      </c>
      <c r="N25">
        <f>SUM(F25:M25)</f>
        <v>138655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5</vt:i4>
      </vt:variant>
    </vt:vector>
  </HeadingPairs>
  <TitlesOfParts>
    <vt:vector size="5" baseType="lpstr">
      <vt:lpstr>guidance</vt:lpstr>
      <vt:lpstr>scope</vt:lpstr>
      <vt:lpstr>SM</vt:lpstr>
      <vt:lpstr>impact map</vt:lpstr>
      <vt:lpstr>Sheet1</vt:lpstr>
    </vt:vector>
  </TitlesOfParts>
  <Company>betamodel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Nicholls</dc:creator>
  <cp:lastModifiedBy>okama chakae</cp:lastModifiedBy>
  <cp:lastPrinted>2023-06-27T09:00:48Z</cp:lastPrinted>
  <dcterms:created xsi:type="dcterms:W3CDTF">2008-09-14T13:53:09Z</dcterms:created>
  <dcterms:modified xsi:type="dcterms:W3CDTF">2025-05-23T07:03:42Z</dcterms:modified>
</cp:coreProperties>
</file>