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D:\00 SAR 2568 การพัฒนาสังคม\SROi\รูปเล่ม รายงาน\"/>
    </mc:Choice>
  </mc:AlternateContent>
  <xr:revisionPtr revIDLastSave="0" documentId="13_ncr:1_{28628D82-6033-458A-AD71-3FF5274D156F}" xr6:coauthVersionLast="47" xr6:coauthVersionMax="47" xr10:uidLastSave="{00000000-0000-0000-0000-000000000000}"/>
  <bookViews>
    <workbookView xWindow="-120" yWindow="-120" windowWidth="29040" windowHeight="15720" activeTab="3" xr2:uid="{00000000-000D-0000-FFFF-FFFF00000000}"/>
  </bookViews>
  <sheets>
    <sheet name="guidance" sheetId="3" r:id="rId1"/>
    <sheet name="scope" sheetId="2" r:id="rId2"/>
    <sheet name="SM" sheetId="4" r:id="rId3"/>
    <sheet name="impact map" sheetId="1" r:id="rId4"/>
    <sheet name="Sheet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0" i="5" l="1"/>
  <c r="N21" i="5"/>
  <c r="N22" i="5"/>
  <c r="N23" i="5"/>
  <c r="N24" i="5"/>
  <c r="N25" i="5"/>
  <c r="O8" i="5"/>
  <c r="N8" i="5"/>
  <c r="M8" i="5"/>
  <c r="L8" i="5"/>
  <c r="K8" i="5"/>
  <c r="J8" i="5"/>
  <c r="O7" i="5"/>
  <c r="N7" i="5"/>
  <c r="M7" i="5"/>
  <c r="L7" i="5"/>
  <c r="K7" i="5"/>
  <c r="J7" i="5"/>
  <c r="O6" i="5"/>
  <c r="N6" i="5"/>
  <c r="M6" i="5"/>
  <c r="L6" i="5"/>
  <c r="K6" i="5"/>
  <c r="J6" i="5"/>
  <c r="O5" i="5"/>
  <c r="N5" i="5"/>
  <c r="M5" i="5"/>
  <c r="L5" i="5"/>
  <c r="K5" i="5"/>
  <c r="J5" i="5"/>
  <c r="O4" i="5"/>
  <c r="N4" i="5"/>
  <c r="M4" i="5"/>
  <c r="L4" i="5"/>
  <c r="K4" i="5"/>
  <c r="J4" i="5"/>
  <c r="O3" i="5"/>
  <c r="N3" i="5"/>
  <c r="M3" i="5"/>
  <c r="L3" i="5"/>
  <c r="K3" i="5"/>
  <c r="J3" i="5"/>
  <c r="M9" i="1"/>
  <c r="D11" i="1"/>
  <c r="D14" i="1"/>
  <c r="D13" i="1"/>
  <c r="D12" i="1"/>
  <c r="D10" i="1"/>
  <c r="D9" i="1"/>
  <c r="M28" i="1" l="1"/>
  <c r="S23" i="1"/>
  <c r="AB23" i="1" s="1"/>
  <c r="U23" i="1" s="1"/>
  <c r="S28" i="1"/>
  <c r="AB28" i="1" s="1"/>
  <c r="V28" i="1" s="1"/>
  <c r="U28" i="1"/>
  <c r="W5" i="1"/>
  <c r="S27" i="1"/>
  <c r="S26" i="1"/>
  <c r="U27" i="1"/>
  <c r="S22" i="1"/>
  <c r="S24" i="1"/>
  <c r="AB24" i="1" s="1"/>
  <c r="V24" i="1" s="1"/>
  <c r="S20" i="1"/>
  <c r="U24" i="1"/>
  <c r="AC23" i="1" l="1"/>
  <c r="AD23" i="1" s="1"/>
  <c r="W23" i="1" s="1"/>
  <c r="AC24" i="1"/>
  <c r="AD24" i="1" s="1"/>
  <c r="AE24" i="1" s="1"/>
  <c r="X24" i="1" s="1"/>
  <c r="AE23" i="1"/>
  <c r="X23" i="1" s="1"/>
  <c r="AF23" i="1"/>
  <c r="V23" i="1"/>
  <c r="AC28" i="1"/>
  <c r="AD28" i="1" s="1"/>
  <c r="AE28" i="1" s="1"/>
  <c r="X28" i="1" s="1"/>
  <c r="AC27" i="1"/>
  <c r="AD27" i="1" s="1"/>
  <c r="W27" i="1" s="1"/>
  <c r="AB27" i="1"/>
  <c r="V27" i="1" s="1"/>
  <c r="AF24" i="1"/>
  <c r="W24" i="1"/>
  <c r="AF28" i="1" l="1"/>
  <c r="AF27" i="1"/>
  <c r="Y27" i="1" s="1"/>
  <c r="Y23" i="1"/>
  <c r="AG23" i="1"/>
  <c r="Z23" i="1" s="1"/>
  <c r="W28" i="1"/>
  <c r="AG28" i="1"/>
  <c r="Z28" i="1" s="1"/>
  <c r="Y28" i="1"/>
  <c r="AE27" i="1"/>
  <c r="X27" i="1" s="1"/>
  <c r="Y24" i="1"/>
  <c r="AG24" i="1"/>
  <c r="Z24" i="1" s="1"/>
  <c r="AG27" i="1" l="1"/>
  <c r="Z27" i="1" s="1"/>
  <c r="U26" i="1"/>
  <c r="AB26" i="1"/>
  <c r="V26" i="1" s="1"/>
  <c r="M25" i="1"/>
  <c r="S21" i="1"/>
  <c r="S16" i="1"/>
  <c r="AB16" i="1" s="1"/>
  <c r="V16" i="1" s="1"/>
  <c r="S15" i="1"/>
  <c r="AB15" i="1" s="1"/>
  <c r="S13" i="1"/>
  <c r="AB13" i="1" s="1"/>
  <c r="S14" i="1"/>
  <c r="AB14" i="1" s="1"/>
  <c r="S12" i="1"/>
  <c r="AB12" i="1" s="1"/>
  <c r="U12" i="1" s="1"/>
  <c r="U9" i="1"/>
  <c r="S9" i="1"/>
  <c r="U16" i="1"/>
  <c r="S17" i="1"/>
  <c r="AB17" i="1" s="1"/>
  <c r="U17" i="1" s="1"/>
  <c r="S18" i="1"/>
  <c r="AB18" i="1" s="1"/>
  <c r="V18" i="1" s="1"/>
  <c r="U18" i="1"/>
  <c r="S10" i="1"/>
  <c r="AB10" i="1" s="1"/>
  <c r="U10" i="1" s="1"/>
  <c r="U13" i="1"/>
  <c r="S11" i="1" l="1"/>
  <c r="AB11" i="1" s="1"/>
  <c r="AC26" i="1"/>
  <c r="AD26" i="1" s="1"/>
  <c r="AC16" i="1"/>
  <c r="AD16" i="1" s="1"/>
  <c r="W16" i="1" s="1"/>
  <c r="AC18" i="1"/>
  <c r="AD18" i="1" s="1"/>
  <c r="W18" i="1" s="1"/>
  <c r="AC12" i="1"/>
  <c r="AD12" i="1" s="1"/>
  <c r="W12" i="1" s="1"/>
  <c r="AB9" i="1"/>
  <c r="V9" i="1" s="1"/>
  <c r="AC9" i="1"/>
  <c r="AD9" i="1" s="1"/>
  <c r="W9" i="1" s="1"/>
  <c r="AC13" i="1"/>
  <c r="AD13" i="1" s="1"/>
  <c r="W13" i="1" s="1"/>
  <c r="AC17" i="1"/>
  <c r="AD17" i="1" s="1"/>
  <c r="W17" i="1" s="1"/>
  <c r="U15" i="1"/>
  <c r="AC15" i="1"/>
  <c r="V13" i="1"/>
  <c r="AC14" i="1"/>
  <c r="AD14" i="1" s="1"/>
  <c r="AE14" i="1" s="1"/>
  <c r="U14" i="1"/>
  <c r="V12" i="1"/>
  <c r="U11" i="1"/>
  <c r="AC10" i="1"/>
  <c r="V10" i="1" s="1"/>
  <c r="U29" i="1"/>
  <c r="U25" i="1"/>
  <c r="U22" i="1"/>
  <c r="U21" i="1"/>
  <c r="S19" i="1"/>
  <c r="AB19" i="1" s="1"/>
  <c r="AB20" i="1"/>
  <c r="AB21" i="1"/>
  <c r="V21" i="1" s="1"/>
  <c r="AB22" i="1"/>
  <c r="V22" i="1" s="1"/>
  <c r="S25" i="1"/>
  <c r="AB25" i="1" s="1"/>
  <c r="V25" i="1" s="1"/>
  <c r="S29" i="1"/>
  <c r="AB29" i="1" s="1"/>
  <c r="V29" i="1" s="1"/>
  <c r="D33" i="1"/>
  <c r="AC11" i="1" l="1"/>
  <c r="AD11" i="1" s="1"/>
  <c r="W11" i="1" s="1"/>
  <c r="AE16" i="1"/>
  <c r="X16" i="1" s="1"/>
  <c r="AC25" i="1"/>
  <c r="AD25" i="1" s="1"/>
  <c r="W25" i="1" s="1"/>
  <c r="AC29" i="1"/>
  <c r="AD29" i="1" s="1"/>
  <c r="W26" i="1"/>
  <c r="AE26" i="1"/>
  <c r="X26" i="1" s="1"/>
  <c r="AF26" i="1"/>
  <c r="AE9" i="1"/>
  <c r="AF9" i="1" s="1"/>
  <c r="AE18" i="1"/>
  <c r="X18" i="1" s="1"/>
  <c r="AE25" i="1"/>
  <c r="X25" i="1" s="1"/>
  <c r="AF25" i="1"/>
  <c r="AE12" i="1"/>
  <c r="X12" i="1" s="1"/>
  <c r="AC22" i="1"/>
  <c r="AD22" i="1" s="1"/>
  <c r="AE22" i="1" s="1"/>
  <c r="X22" i="1" s="1"/>
  <c r="AC21" i="1"/>
  <c r="AD21" i="1" s="1"/>
  <c r="AF21" i="1" s="1"/>
  <c r="AF16" i="1"/>
  <c r="V15" i="1"/>
  <c r="AD15" i="1"/>
  <c r="AE13" i="1"/>
  <c r="X13" i="1" s="1"/>
  <c r="AE17" i="1"/>
  <c r="X17" i="1" s="1"/>
  <c r="V17" i="1"/>
  <c r="AF17" i="1"/>
  <c r="W14" i="1"/>
  <c r="V14" i="1"/>
  <c r="X14" i="1"/>
  <c r="AF14" i="1"/>
  <c r="AD10" i="1"/>
  <c r="W10" i="1" s="1"/>
  <c r="V11" i="1"/>
  <c r="U20" i="1"/>
  <c r="U19" i="1"/>
  <c r="AC20" i="1"/>
  <c r="AD20" i="1" s="1"/>
  <c r="AC19" i="1"/>
  <c r="S31" i="1"/>
  <c r="AE11" i="1" l="1"/>
  <c r="X11" i="1" s="1"/>
  <c r="AF18" i="1"/>
  <c r="Y18" i="1" s="1"/>
  <c r="X9" i="1"/>
  <c r="Y26" i="1"/>
  <c r="AG26" i="1"/>
  <c r="Z26" i="1" s="1"/>
  <c r="W29" i="1"/>
  <c r="AE29" i="1"/>
  <c r="X29" i="1" s="1"/>
  <c r="AF29" i="1"/>
  <c r="W22" i="1"/>
  <c r="AF22" i="1"/>
  <c r="Y22" i="1" s="1"/>
  <c r="AF13" i="1"/>
  <c r="Y13" i="1" s="1"/>
  <c r="AF12" i="1"/>
  <c r="Y12" i="1" s="1"/>
  <c r="Y25" i="1"/>
  <c r="AG25" i="1"/>
  <c r="Z25" i="1" s="1"/>
  <c r="W21" i="1"/>
  <c r="AE21" i="1"/>
  <c r="X21" i="1" s="1"/>
  <c r="Y21" i="1"/>
  <c r="AG21" i="1"/>
  <c r="Z21" i="1" s="1"/>
  <c r="Y16" i="1"/>
  <c r="AG16" i="1"/>
  <c r="Z16" i="1" s="1"/>
  <c r="W15" i="1"/>
  <c r="AE15" i="1"/>
  <c r="Y9" i="1"/>
  <c r="AG9" i="1"/>
  <c r="Z9" i="1" s="1"/>
  <c r="V19" i="1"/>
  <c r="AD19" i="1"/>
  <c r="Y17" i="1"/>
  <c r="AG17" i="1"/>
  <c r="Z17" i="1" s="1"/>
  <c r="AE10" i="1"/>
  <c r="Y14" i="1"/>
  <c r="AG14" i="1"/>
  <c r="Z14" i="1" s="1"/>
  <c r="V20" i="1"/>
  <c r="W20" i="1"/>
  <c r="AE20" i="1"/>
  <c r="U31" i="1"/>
  <c r="U33" i="1" s="1"/>
  <c r="AF11" i="1" l="1"/>
  <c r="Y11" i="1" s="1"/>
  <c r="AG13" i="1"/>
  <c r="Z13" i="1" s="1"/>
  <c r="AG18" i="1"/>
  <c r="Z18" i="1" s="1"/>
  <c r="X20" i="1"/>
  <c r="AF20" i="1"/>
  <c r="AG20" i="1" s="1"/>
  <c r="Z20" i="1" s="1"/>
  <c r="Y29" i="1"/>
  <c r="AG29" i="1"/>
  <c r="Z29" i="1" s="1"/>
  <c r="AG22" i="1"/>
  <c r="Z22" i="1" s="1"/>
  <c r="AG12" i="1"/>
  <c r="Z12" i="1" s="1"/>
  <c r="X15" i="1"/>
  <c r="AF15" i="1"/>
  <c r="X10" i="1"/>
  <c r="AF10" i="1"/>
  <c r="W19" i="1"/>
  <c r="W31" i="1" s="1"/>
  <c r="W33" i="1" s="1"/>
  <c r="AE19" i="1"/>
  <c r="V31" i="1"/>
  <c r="V33" i="1" s="1"/>
  <c r="AG11" i="1" l="1"/>
  <c r="Z11" i="1" s="1"/>
  <c r="Y20" i="1"/>
  <c r="X19" i="1"/>
  <c r="X31" i="1" s="1"/>
  <c r="X33" i="1" s="1"/>
  <c r="AF19" i="1"/>
  <c r="Y15" i="1"/>
  <c r="AG15" i="1"/>
  <c r="Z15" i="1" s="1"/>
  <c r="Y10" i="1"/>
  <c r="AG10" i="1"/>
  <c r="Z10" i="1" s="1"/>
  <c r="AG19" i="1" l="1"/>
  <c r="Z19" i="1" s="1"/>
  <c r="Z31" i="1" s="1"/>
  <c r="Z33" i="1" s="1"/>
  <c r="Y19" i="1"/>
  <c r="Y31" i="1" s="1"/>
  <c r="Y33" i="1" s="1"/>
  <c r="Z34" i="1" l="1"/>
  <c r="Z35" i="1" s="1"/>
  <c r="Z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TOSSAPOND KEWPRASOPSAK</author>
  </authors>
  <commentList>
    <comment ref="W5" authorId="0" shapeId="0" xr:uid="{6443AED6-04E7-BB4D-95AD-E4CD4AB403F5}">
      <text>
        <r>
          <rPr>
            <b/>
            <sz val="10"/>
            <color rgb="FF000000"/>
            <rFont val="Tahoma"/>
            <family val="2"/>
          </rPr>
          <t>TOSSAPOND KEWPRASOPSAK:</t>
        </r>
        <r>
          <rPr>
            <sz val="10"/>
            <color rgb="FF000000"/>
            <rFont val="Tahoma"/>
            <family val="2"/>
          </rPr>
          <t>ROE SCG 61-64
https://www.set.or.th/th/market/product/stock/quote/SCG/financial-statement/company-highlights</t>
        </r>
      </text>
    </comment>
    <comment ref="N15" authorId="0" shapeId="0" xr:uid="{FDF7B22E-A5F4-A54A-8345-D0FF451F94FE}">
      <text>
        <r>
          <rPr>
            <b/>
            <sz val="10"/>
            <color rgb="FF000000"/>
            <rFont val="Tahoma"/>
            <family val="2"/>
          </rPr>
          <t>TOSSAPOND KEWPRASOPSAK:</t>
        </r>
        <r>
          <rPr>
            <sz val="10"/>
            <color rgb="FF000000"/>
            <rFont val="Tahoma"/>
            <family val="2"/>
          </rPr>
          <t xml:space="preserve">
</t>
        </r>
        <r>
          <rPr>
            <sz val="10"/>
            <color rgb="FF000000"/>
            <rFont val="Tahoma"/>
            <family val="2"/>
          </rPr>
          <t>https://www.namsaetrading2012.com/</t>
        </r>
        <r>
          <rPr>
            <sz val="10"/>
            <color rgb="FF000000"/>
            <rFont val="Tahoma"/>
            <family val="2"/>
          </rPr>
          <t>รายละเอียด/สูตรคำนวณ_</t>
        </r>
        <r>
          <rPr>
            <sz val="10"/>
            <color rgb="FF000000"/>
            <rFont val="Tahoma"/>
            <family val="2"/>
          </rPr>
          <t>Und_</t>
        </r>
        <r>
          <rPr>
            <sz val="10"/>
            <color rgb="FF000000"/>
            <rFont val="Tahoma"/>
            <family val="2"/>
          </rPr>
          <t>ค่าไฟฟ้าและปั๊มหอยโข่งไฟฟ้า</t>
        </r>
        <r>
          <rPr>
            <sz val="10"/>
            <color rgb="FF000000"/>
            <rFont val="Tahoma"/>
            <family val="2"/>
          </rPr>
          <t xml:space="preserve">
</t>
        </r>
      </text>
    </comment>
    <comment ref="M18" authorId="0" shapeId="0" xr:uid="{440EE1B9-2B20-4141-83BC-C92ABA90FF28}">
      <text>
        <r>
          <rPr>
            <b/>
            <sz val="10"/>
            <color rgb="FF000000"/>
            <rFont val="Tahoma"/>
            <family val="2"/>
          </rPr>
          <t>TOSSAPOND KEWPRASOPSAK:</t>
        </r>
        <r>
          <rPr>
            <sz val="10"/>
            <color rgb="FF000000"/>
            <rFont val="Tahoma"/>
            <family val="2"/>
          </rPr>
          <t xml:space="preserve">
</t>
        </r>
        <r>
          <rPr>
            <sz val="10"/>
            <color rgb="FF000000"/>
            <rFont val="Tahoma"/>
            <family val="2"/>
          </rPr>
          <t xml:space="preserve">สมมติ
</t>
        </r>
      </text>
    </comment>
    <comment ref="Q19" authorId="0" shapeId="0" xr:uid="{2EF05258-2C00-EB42-80F5-04C058ABC5A9}">
      <text>
        <r>
          <rPr>
            <b/>
            <sz val="10"/>
            <color rgb="FF000000"/>
            <rFont val="Tahoma"/>
            <family val="2"/>
          </rPr>
          <t>TOSSAPOND KEWPRASOPSAK:</t>
        </r>
        <r>
          <rPr>
            <sz val="10"/>
            <color rgb="FF000000"/>
            <rFont val="Tahoma"/>
            <family val="2"/>
          </rPr>
          <t xml:space="preserve">ถามเพิ่ม
</t>
        </r>
      </text>
    </comment>
    <comment ref="F27" authorId="0" shapeId="0" xr:uid="{A93E968A-E4E0-BB48-9E08-F2F5771A6936}">
      <text>
        <r>
          <rPr>
            <b/>
            <sz val="10"/>
            <color rgb="FF000000"/>
            <rFont val="Tahoma"/>
            <family val="2"/>
          </rPr>
          <t>TOSSAPOND KEWPRASOPSAK:</t>
        </r>
        <r>
          <rPr>
            <sz val="10"/>
            <color rgb="FF000000"/>
            <rFont val="Tahoma"/>
            <family val="2"/>
          </rPr>
          <t xml:space="preserve">
</t>
        </r>
        <r>
          <rPr>
            <sz val="10"/>
            <color rgb="FF000000"/>
            <rFont val="Tahoma"/>
            <family val="2"/>
          </rPr>
          <t>https://www.egat.co.th/home/20220129-pre01/</t>
        </r>
      </text>
    </comment>
    <comment ref="H27" authorId="0" shapeId="0" xr:uid="{66B3162D-816F-D648-8C82-ABA672893DFD}">
      <text>
        <r>
          <rPr>
            <b/>
            <sz val="10"/>
            <color rgb="FF000000"/>
            <rFont val="Tahoma"/>
            <family val="2"/>
          </rPr>
          <t>TOSSAPOND KEWPRASOPSAK:</t>
        </r>
        <r>
          <rPr>
            <sz val="10"/>
            <color rgb="FF000000"/>
            <rFont val="Tahoma"/>
            <family val="2"/>
          </rPr>
          <t xml:space="preserve">
</t>
        </r>
        <r>
          <rPr>
            <sz val="10"/>
            <color rgb="FF000000"/>
            <rFont val="Tahoma"/>
            <family val="2"/>
          </rPr>
          <t>https://www.ratch.co.th/en/csr-activity/4846/</t>
        </r>
        <r>
          <rPr>
            <sz val="10"/>
            <color rgb="FF000000"/>
            <rFont val="Tahoma"/>
            <family val="2"/>
          </rPr>
          <t>โครงการปลูกป่าต้นน้ำสร้างแหล่งกักเก็บคาร์บอน-อำเภอปัว-จังหวัดน่าน</t>
        </r>
      </text>
    </comment>
    <comment ref="N27" authorId="0" shapeId="0" xr:uid="{11A31C6F-8E75-CF4D-B5E7-23FE7B1CACBE}">
      <text>
        <r>
          <rPr>
            <b/>
            <sz val="10"/>
            <color rgb="FF000000"/>
            <rFont val="Tahoma"/>
            <family val="2"/>
          </rPr>
          <t>TOSSAPOND KEWPRASOPSAK:</t>
        </r>
        <r>
          <rPr>
            <sz val="10"/>
            <color rgb="FF000000"/>
            <rFont val="Tahoma"/>
            <family val="2"/>
          </rPr>
          <t xml:space="preserve">
</t>
        </r>
        <r>
          <rPr>
            <sz val="10"/>
            <color rgb="FF000000"/>
            <rFont val="Tahoma"/>
            <family val="2"/>
          </rPr>
          <t>http://carbonmarket.tgo.or.th/index.php?lang=TH&amp;mod=Y2hhcnQ=&amp;action=bGlzdA==</t>
        </r>
      </text>
    </comment>
  </commentList>
</comments>
</file>

<file path=xl/sharedStrings.xml><?xml version="1.0" encoding="utf-8"?>
<sst xmlns="http://schemas.openxmlformats.org/spreadsheetml/2006/main" count="234" uniqueCount="204">
  <si>
    <t>Impact</t>
  </si>
  <si>
    <t>Description</t>
  </si>
  <si>
    <t>Indicator</t>
  </si>
  <si>
    <t>Source</t>
  </si>
  <si>
    <t>Duration</t>
  </si>
  <si>
    <t>Quantity</t>
  </si>
  <si>
    <t xml:space="preserve">    Calculating Social Return</t>
  </si>
  <si>
    <t>Total</t>
  </si>
  <si>
    <t>Present value of each year</t>
  </si>
  <si>
    <t>Total Present Value (PV)</t>
  </si>
  <si>
    <t>Year 1</t>
  </si>
  <si>
    <t>Year 2</t>
  </si>
  <si>
    <t>Year 3</t>
  </si>
  <si>
    <t>Year 4</t>
  </si>
  <si>
    <t>Year 5</t>
  </si>
  <si>
    <t>Organisation</t>
  </si>
  <si>
    <t>Objectives</t>
  </si>
  <si>
    <t>Scope</t>
  </si>
  <si>
    <t>Activity</t>
  </si>
  <si>
    <t>Contract/Funding/ Part of org’</t>
  </si>
  <si>
    <t>Date</t>
  </si>
  <si>
    <t>Name</t>
  </si>
  <si>
    <t>Attribution      %</t>
  </si>
  <si>
    <t>Displacement      %</t>
  </si>
  <si>
    <t>Deadweight      %</t>
  </si>
  <si>
    <t>Drop off         %</t>
  </si>
  <si>
    <t>Who else contributed to  the change?</t>
  </si>
  <si>
    <t>What activity did you displace?</t>
  </si>
  <si>
    <t>Does the outcome drop off in future years?</t>
  </si>
  <si>
    <t xml:space="preserve"> SROI Network</t>
  </si>
  <si>
    <t xml:space="preserve">Spreadsheet for developing SROI analysis.  Only to by used as part of SROI Network training. The spreadsheet does not include any guidance </t>
  </si>
  <si>
    <t>Social Return on Investment - The Impact Map</t>
  </si>
  <si>
    <t>Time Period</t>
  </si>
  <si>
    <t>Forecast or Evaluation</t>
  </si>
  <si>
    <t>Purpose of Analysis</t>
  </si>
  <si>
    <t>Objective of Activity</t>
  </si>
  <si>
    <t>Stage 1</t>
  </si>
  <si>
    <t>Stage 2</t>
  </si>
  <si>
    <t>Stage 3</t>
  </si>
  <si>
    <t>Stage 4</t>
  </si>
  <si>
    <t>Financial Proxy</t>
  </si>
  <si>
    <t xml:space="preserve">  Discount rate</t>
  </si>
  <si>
    <t>What do you think will change for them?</t>
  </si>
  <si>
    <t>What do they invest?</t>
  </si>
  <si>
    <t>Summary of activity in numbers</t>
  </si>
  <si>
    <t>How would you measure it?</t>
  </si>
  <si>
    <t>Where did you get the information from?</t>
  </si>
  <si>
    <t>How much change was there?</t>
  </si>
  <si>
    <t>What proxy would you use to value the change?</t>
  </si>
  <si>
    <t>What would have happened without the activity?</t>
  </si>
  <si>
    <t>Quantity times financial proxy, less deadweight,displacement and attribution</t>
  </si>
  <si>
    <t xml:space="preserve">Net Present Value </t>
  </si>
  <si>
    <t>(PV minus the investment)</t>
  </si>
  <si>
    <t xml:space="preserve">Social Return </t>
  </si>
  <si>
    <t>Who do we have an affect on?                          Who has an effect on us?</t>
  </si>
  <si>
    <t>How would the stakeholder describe the changes?</t>
  </si>
  <si>
    <r>
      <t>What is the value of the change? (</t>
    </r>
    <r>
      <rPr>
        <i/>
        <sz val="10"/>
        <rFont val="Arial"/>
        <family val="2"/>
      </rPr>
      <t>Only enter numbers)</t>
    </r>
  </si>
  <si>
    <r>
      <t xml:space="preserve">What is the value of the inputs in currency </t>
    </r>
    <r>
      <rPr>
        <i/>
        <sz val="10"/>
        <rFont val="Arial"/>
        <family val="2"/>
      </rPr>
      <t>(only enter numbers)</t>
    </r>
  </si>
  <si>
    <t>Value in currency</t>
  </si>
  <si>
    <t>Guide for using the SROI Network spreadsheet</t>
  </si>
  <si>
    <t xml:space="preserve">The spreadsheet has not been protected in order to provide users with some flexibility. Great care should be taken in making any changes to ensure the integrity of the calculations. It is the responsibility of the user to ensure that any changes do not effect the integrity of the calculations. In particular </t>
  </si>
  <si>
    <r>
      <t>·</t>
    </r>
    <r>
      <rPr>
        <sz val="7"/>
        <rFont val="Times New Roman"/>
        <family val="1"/>
      </rPr>
      <t xml:space="preserve">         </t>
    </r>
    <r>
      <rPr>
        <sz val="11"/>
        <rFont val="Calibri"/>
        <family val="2"/>
      </rPr>
      <t>new columns should not be added</t>
    </r>
  </si>
  <si>
    <r>
      <t>·</t>
    </r>
    <r>
      <rPr>
        <sz val="7"/>
        <rFont val="Times New Roman"/>
        <family val="1"/>
      </rPr>
      <t xml:space="preserve">         </t>
    </r>
    <r>
      <rPr>
        <sz val="11"/>
        <rFont val="Calibri"/>
        <family val="2"/>
      </rPr>
      <t>additional rows can be added to accommodate new stakeholders but the equations in an existing row will need to be copied into any new rows</t>
    </r>
  </si>
  <si>
    <r>
      <t>·</t>
    </r>
    <r>
      <rPr>
        <sz val="7"/>
        <rFont val="Times New Roman"/>
        <family val="1"/>
      </rPr>
      <t xml:space="preserve">         </t>
    </r>
    <r>
      <rPr>
        <sz val="11"/>
        <rFont val="Calibri"/>
        <family val="2"/>
      </rPr>
      <t>no changes should be made to cells containing formulae</t>
    </r>
  </si>
  <si>
    <t>Column – Inputs, What is the value of the inputs in currency</t>
  </si>
  <si>
    <t xml:space="preserve">Cells in this column should only be filled in with number. Do not include the currency sign, for example £  </t>
  </si>
  <si>
    <t>Column – Outcomes, quantity</t>
  </si>
  <si>
    <t>Cells in this column should only be filled in with a number. Do not include text.</t>
  </si>
  <si>
    <t>Column – Outcomes, duration</t>
  </si>
  <si>
    <t xml:space="preserve">Cells in this column should only be filled in with a whole number. Do not include text, for example ‘years’. The spreadsheet has been designed on the basis that the duration will be in years and has restricted this to a maximum of 5. If more than 5 is entered the calculation will be based on 5 years. </t>
  </si>
  <si>
    <t xml:space="preserve">Column – Outcomes, value </t>
  </si>
  <si>
    <t>Cells in this column should only be filled in with numbers for example ‘4.25’.</t>
  </si>
  <si>
    <t>Columns in Stage 4</t>
  </si>
  <si>
    <t>Cells in these columns should only be filled in with numbers between 0 and 100.</t>
  </si>
  <si>
    <t>Calculating social return</t>
  </si>
  <si>
    <t xml:space="preserve">Apart from the cell to the right of the discount rate, nothing should be entered into cells in these columns. </t>
  </si>
  <si>
    <t>The spreadsheet analyses the value of the investment in one period (for example one year) and is not designed for analysis of capital projects where the financial returns from an investment arise over several years, each year generating benefits</t>
  </si>
  <si>
    <t>The spreadsheet has been designed to follow the methodology in the SROI Guide published by the Cabinet Office 2009. It is recommended that the Guide is read before using the spreadsheet. It is the responsibility of the user to ensure that the spreadsheet is completed correctly in accordance with the requirements of the SROI Guide.</t>
  </si>
  <si>
    <t>There is no support for this spreadsheet as a free download and the guidance below is not  designed to be a work book. Support and training are available from the SROI Network.</t>
  </si>
  <si>
    <t>Discount rate</t>
  </si>
  <si>
    <t>Outcomes are assumed to occur after the activity and to occur at the end of the period. If the duration of the outcomes is 1 year, then the value of the outcomes will be discounted by one year.</t>
  </si>
  <si>
    <t>If you have outcomes that occur during the activity and last for one year afterwards, then, as above, the outcomes that last for one year after will be discounted by two years.</t>
  </si>
  <si>
    <t>The duration of outcomes is limited to 5 years</t>
  </si>
  <si>
    <t>Year 0</t>
  </si>
  <si>
    <t>Does it start in period of activity (1) or in period after (2)</t>
  </si>
  <si>
    <r>
      <t>How long does it last after end of activity? (</t>
    </r>
    <r>
      <rPr>
        <i/>
        <sz val="10"/>
        <rFont val="Arial"/>
        <family val="2"/>
      </rPr>
      <t>Only enter numbers)</t>
    </r>
  </si>
  <si>
    <t>Column - Outcomes start</t>
  </si>
  <si>
    <t>This column should be completed with a '1' if the outcomes start in the period of the activity and a '2' if the outcomes start in the first year after the activity</t>
  </si>
  <si>
    <t>This spreadsheet is not designed to deal with outcomes that start more than one year after the activity</t>
  </si>
  <si>
    <t>The earlier version of the SROI Network spreadsheet did not include this option. To obtain the same result in both version 1.1 and 1.2 set this at '2'</t>
  </si>
  <si>
    <t xml:space="preserve">The spreadsheet will not be applicable in all situations. In particular it is not designed to deal with captial projects, more complex systems or outcomes that start more than one year after the activity. This is not an exclusive list. </t>
  </si>
  <si>
    <t>Outcomes start</t>
  </si>
  <si>
    <t>Value per amount invested</t>
  </si>
  <si>
    <t>1. General</t>
  </si>
  <si>
    <t>2. Structure</t>
  </si>
  <si>
    <t>3. Specifics</t>
  </si>
  <si>
    <t>As a result if you have outcomes that occur during the activity, they will be discounted by one year for valuation purposes.</t>
  </si>
  <si>
    <t>SCG</t>
  </si>
  <si>
    <t>stakholder</t>
  </si>
  <si>
    <t>input</t>
  </si>
  <si>
    <t>activities</t>
  </si>
  <si>
    <t>output</t>
  </si>
  <si>
    <t>outcome</t>
  </si>
  <si>
    <t>ให้ใช้พื้นที่</t>
  </si>
  <si>
    <t>ขุดบ่อ วางท่อ</t>
  </si>
  <si>
    <t>เวลาที่ใช้ประชุม</t>
  </si>
  <si>
    <t>ค่าเสียโอกาสในการใช้พื้นที่</t>
  </si>
  <si>
    <t>บ่อพวง 9 บ่อ</t>
  </si>
  <si>
    <t>ระบบการจัดการน้ำ 1 ระบบ</t>
  </si>
  <si>
    <t>มีรายได้เพิ่ม</t>
  </si>
  <si>
    <t>มีสุขภาพดีขึ้น</t>
  </si>
  <si>
    <t>มีความสุขในครอบครัวได้กลับมาอยู่บ้าน</t>
  </si>
  <si>
    <t>มีทักษะการเป็นผู้นำ</t>
  </si>
  <si>
    <t xml:space="preserve">มีทักษะการจัดการระบบน้ำ/ซ่อมบำรุง </t>
  </si>
  <si>
    <t>ปศุสัตว์</t>
  </si>
  <si>
    <t xml:space="preserve">เกษตรกร ไม้ผล/ </t>
  </si>
  <si>
    <t>ชาวบ้านที่ใช้น้ำประปา</t>
  </si>
  <si>
    <t>มีเวลามากขึ้น</t>
  </si>
  <si>
    <t>มีน้ำใช้ --&gt;ลดต้นทุนในการจัดหาน้ำ</t>
  </si>
  <si>
    <t>เกิดการเกษตรแบบผสมผสาน/เลี้ยงสัตว์</t>
  </si>
  <si>
    <t>จำนวนเกษตรกรที่เข้าร่วมประชุม 30 คน</t>
  </si>
  <si>
    <t>เข้าร่วมประชุมวางแผนจัดการ 2 ครั้ง /อบรม 3 ครั้ง/ดูงาน 1 ครั้ง</t>
  </si>
  <si>
    <t>ร่วมวางท่อ</t>
  </si>
  <si>
    <t>แรงงานขุดบ่อ/เวลาที่ใช้</t>
  </si>
  <si>
    <t>แรงงาน/เวลาที่ใช้</t>
  </si>
  <si>
    <t>ได้เส้นทางลำเลียงน้ำประปาหมู่บ้าน</t>
  </si>
  <si>
    <t>ลดปัญหาการขาดแคลนน้ำในหน้าฝน</t>
  </si>
  <si>
    <t>ประปาหมู่บ้าน</t>
  </si>
  <si>
    <t>-</t>
  </si>
  <si>
    <t>มีแหล่งน้ำดิบสำรอง</t>
  </si>
  <si>
    <t>กำไรเพิ่มขึ้น</t>
  </si>
  <si>
    <t>30 คน</t>
  </si>
  <si>
    <t>280 ครัวเรือน</t>
  </si>
  <si>
    <t>ชุมชน</t>
  </si>
  <si>
    <t>เกิดความขัดแย้งเกี่ยวกับการบริหารจัดการน้ำ</t>
  </si>
  <si>
    <t>ต้นกล้าชุมชนเรน</t>
  </si>
  <si>
    <t xml:space="preserve">งบประมาณโครงการ </t>
  </si>
  <si>
    <t>แนวทาง/รูปแบบในการพัฒนาต้นกล้าชุมชน</t>
  </si>
  <si>
    <t>ภาพลักษณ์ของ scg ในพื้นที่</t>
  </si>
  <si>
    <t>สัมภาษณ์</t>
  </si>
  <si>
    <t>สมมติ</t>
  </si>
  <si>
    <t>ความภาคภูมิใจ</t>
  </si>
  <si>
    <t>อบก</t>
  </si>
  <si>
    <t>ค่ารักษา</t>
  </si>
  <si>
    <t>ผู้มีส่วนได้ส่วนเสีย</t>
  </si>
  <si>
    <t>การเปลี่ยนแปลงที่ตั้งใจและไม่ตั้งใจ</t>
  </si>
  <si>
    <t>ปัจจัยนำเข้า</t>
  </si>
  <si>
    <t>มูลค่าปัจจัย</t>
  </si>
  <si>
    <t>ผลผลิต</t>
  </si>
  <si>
    <t>ผลผลัพธ์ระยะยาว</t>
  </si>
  <si>
    <t>ตัวชี้วัด</t>
  </si>
  <si>
    <t>ที่มา</t>
  </si>
  <si>
    <t>ปริมาณ</t>
  </si>
  <si>
    <t>ระยะเวลา</t>
  </si>
  <si>
    <t>การเริ่มเกิดผลลัพธ์</t>
  </si>
  <si>
    <t>ตัวแทนการเงิน</t>
  </si>
  <si>
    <t>มูลค่าผลลัพธ์</t>
  </si>
  <si>
    <r>
      <t>กลุ่มผลิตภัณฑ์ไม้กวาดดอกหญ้า จำนวน..</t>
    </r>
    <r>
      <rPr>
        <sz val="11"/>
        <color rgb="FFFF0000"/>
        <rFont val="TH SarabunPSK"/>
        <family val="2"/>
      </rPr>
      <t>20</t>
    </r>
    <r>
      <rPr>
        <sz val="14"/>
        <color rgb="FFFF0000"/>
        <rFont val="TH SarabunPSK"/>
        <family val="2"/>
      </rPr>
      <t>....คน</t>
    </r>
  </si>
  <si>
    <t xml:space="preserve">นักศึกษา </t>
  </si>
  <si>
    <t>ผู้บริโภคทั่วไปจำนวน 50 คน</t>
  </si>
  <si>
    <t>หมู่บ้านที่ดำเนินการ ชุมชน</t>
  </si>
  <si>
    <t>ภาคเอกชน ผู้ประกอบการ  (องค์กร)</t>
  </si>
  <si>
    <t>หน่วยงานของภาครัฐที่เกี่ยวข้อง  องค์กร</t>
  </si>
  <si>
    <t>ความรู้ ทักษะ ผลิตภัณฑ์ รายได้ ต้นแบบผลิตภัณฑ์เกินเป้า 3 ชิ้น</t>
  </si>
  <si>
    <t xml:space="preserve">ค่าเสียเวลา </t>
  </si>
  <si>
    <r>
      <t xml:space="preserve">ผู้ที่เข้าร่วมอบรมตามโครงการ จำนวน </t>
    </r>
    <r>
      <rPr>
        <sz val="14"/>
        <color rgb="FFFF0000"/>
        <rFont val="TH SarabunPSK"/>
        <family val="2"/>
      </rPr>
      <t>20</t>
    </r>
    <r>
      <rPr>
        <sz val="14"/>
        <color rgb="FF000000"/>
        <rFont val="TH SarabunPSK"/>
        <family val="2"/>
      </rPr>
      <t xml:space="preserve"> คน / 2 ครั้ง  </t>
    </r>
  </si>
  <si>
    <t>ได้มาตรฐานผลิตภัณฑ์</t>
  </si>
  <si>
    <t>รายได้จากการขายผลิตภัณฑ์</t>
  </si>
  <si>
    <t>ผู้เข้าร่วมอบรม</t>
  </si>
  <si>
    <t>-ได้มาตรฐานผลิตภัณฑ์</t>
  </si>
  <si>
    <t xml:space="preserve">สมาชิกกลุ่ม 20 คน (รายได้จากการขายสินค้า) 5,000 บาท ต่อ คน ต่อ ปี </t>
  </si>
  <si>
    <t>ลดขยะ ย่อยสลาย</t>
  </si>
  <si>
    <t>ค่าเสียเวลา 20 คน *300 บาท *2 วัน</t>
  </si>
  <si>
    <t>ผู้ซื้อ ไม้กวาด 500 อัน * 80 บาท</t>
  </si>
  <si>
    <t>ผู้บริโภคใช้ไม้กวาด 500 อัน</t>
  </si>
  <si>
    <t xml:space="preserve">-ลดขยะ ย่อยสลายง่าย </t>
  </si>
  <si>
    <t xml:space="preserve">จำนวนขยะลดลง </t>
  </si>
  <si>
    <t>การสัมภาษณ์</t>
  </si>
  <si>
    <t>ปริมาณการเก็บขยะลดลงต่อครัวเรือนคิดเป็น (เดือนละ 4 ครั้ง ๆ ละ 20 บาท เป็นเงิน )</t>
  </si>
  <si>
    <t>นำเข้าวัตถุดิบ ดอกหญ้า</t>
  </si>
  <si>
    <t>นำเข้าดอกหญ้าจำนวน 12 กก/ครัวเรือน</t>
  </si>
  <si>
    <t>ชุมชนมีรายได้</t>
  </si>
  <si>
    <t>ความมั่นคงทางเศาษฐกิจ</t>
  </si>
  <si>
    <t>รายได้จากการขายดอกหญ้า</t>
  </si>
  <si>
    <t>ความมั่นคงทางเศรษฐกิจ</t>
  </si>
  <si>
    <t>ชาวบ้าน 20 ครัวเรือน (รายได้จากการขายดอกหญ้า)</t>
  </si>
  <si>
    <t>ส่วนแบ่งทางการตลาด</t>
  </si>
  <si>
    <t>ซื้อไม้กวาด 500 อัน ๆ 80</t>
  </si>
  <si>
    <t>ไม้กวาดดอกหญ้า</t>
  </si>
  <si>
    <t>ส่วนแบ่งทางการตลาด ของธุรกิจจากผลิตภัณฑ์ไม้กวาดก่ำเพิ่มขึ้น</t>
  </si>
  <si>
    <t>ยอดขายของผลิตภัณฑ์ฯ เมื่อเทียบกับคู่แข่ง</t>
  </si>
  <si>
    <t xml:space="preserve">ผู้ประกอบการ 10 ร้านค้า (รายได้จากากการขายไม้กวาด) 10  ร้านค้า x ร้านละ 100 ชิ้น x 80  บาท </t>
  </si>
  <si>
    <t>ความภาคภูมิใจที่ได้สนับสนุนโดย BCG</t>
  </si>
  <si>
    <t>งบประการณการประสานงานค่าต้น่แบบ</t>
  </si>
  <si>
    <t>ได้ A! ได้นโยบาย ได้ตัวชี้วัด การมีส่วนร่วม</t>
  </si>
  <si>
    <t xml:space="preserve">หน่วยงานภาคภูมิใจที่ได้สนับสนุนรายได้โดยใช้หลัก BCG เพิ่มขึ้น </t>
  </si>
  <si>
    <t xml:space="preserve">นโยบาย BCG </t>
  </si>
  <si>
    <t xml:space="preserve">จำนวนโครงการที่ได้รับการสนับสนุน 3 โครงการ ๆ ละ </t>
  </si>
  <si>
    <t>ความรู้ ทักษะ</t>
  </si>
  <si>
    <t>การเป็นผู้ประกอบการ LLL</t>
  </si>
  <si>
    <t>จำนวนนักศึกษาที่อบรม</t>
  </si>
  <si>
    <t xml:space="preserve"> ทักษะ</t>
  </si>
  <si>
    <t>นักศึกษามีทักษะการเป็นผู้ประกอบการจำนวน 5 คน</t>
  </si>
  <si>
    <t>เครือข่าย ความรู้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</si>
</sst>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87" formatCode="_(* #,##0.00_);_(* \(#,##0.00\);_(* &quot;-&quot;??_);_(@_)"/>
    <numFmt numFmtId="188" formatCode="0.0%"/>
    <numFmt numFmtId="189" formatCode="0.0"/>
    <numFmt numFmtId="190" formatCode="&quot;£&quot;#,##0.00"/>
  </numFmts>
  <fonts count="41" x14ac:knownFonts="1">
    <font>
      <sz val="10"/>
      <name val="Arial"/>
    </font>
    <font>
      <sz val="10"/>
      <name val="Arial"/>
      <family val="2"/>
    </font>
    <font>
      <b/>
      <sz val="10"/>
      <name val="Arial"/>
      <family val="2"/>
    </font>
    <font>
      <b/>
      <sz val="12"/>
      <name val="Arial"/>
      <family val="2"/>
    </font>
    <font>
      <sz val="14"/>
      <name val="Arial"/>
      <family val="2"/>
    </font>
    <font>
      <sz val="12"/>
      <name val="Arial"/>
      <family val="2"/>
    </font>
    <font>
      <b/>
      <sz val="12"/>
      <name val="Times New Roman"/>
      <family val="1"/>
    </font>
    <font>
      <sz val="10"/>
      <color theme="0"/>
      <name val="Arial"/>
      <family val="2"/>
    </font>
    <font>
      <sz val="14"/>
      <color theme="0"/>
      <name val="Arial"/>
      <family val="2"/>
    </font>
    <font>
      <sz val="14"/>
      <color rgb="FFFF0000"/>
      <name val="Tahoma"/>
      <family val="2"/>
      <scheme val="minor"/>
    </font>
    <font>
      <b/>
      <sz val="12"/>
      <color theme="0"/>
      <name val="Arial"/>
      <family val="2"/>
    </font>
    <font>
      <sz val="13"/>
      <color rgb="FFFF0000"/>
      <name val="Tahoma"/>
      <family val="2"/>
      <scheme val="minor"/>
    </font>
    <font>
      <b/>
      <sz val="13"/>
      <color theme="0"/>
      <name val="Times New Roman"/>
      <family val="1"/>
    </font>
    <font>
      <b/>
      <sz val="12"/>
      <name val="Tahoma"/>
      <family val="2"/>
      <scheme val="minor"/>
    </font>
    <font>
      <b/>
      <sz val="12"/>
      <color theme="0"/>
      <name val="Times New Roman"/>
      <family val="1"/>
    </font>
    <font>
      <b/>
      <sz val="14"/>
      <color theme="0"/>
      <name val="Arial"/>
      <family val="2"/>
    </font>
    <font>
      <i/>
      <sz val="10"/>
      <name val="Arial"/>
      <family val="2"/>
    </font>
    <font>
      <sz val="11"/>
      <name val="Calibri"/>
      <family val="2"/>
    </font>
    <font>
      <b/>
      <sz val="11"/>
      <name val="Calibri"/>
      <family val="2"/>
    </font>
    <font>
      <sz val="11"/>
      <name val="Symbol"/>
      <family val="1"/>
      <charset val="2"/>
    </font>
    <font>
      <sz val="7"/>
      <name val="Times New Roman"/>
      <family val="1"/>
    </font>
    <font>
      <sz val="12"/>
      <name val="Calibri"/>
      <family val="2"/>
    </font>
    <font>
      <b/>
      <sz val="12"/>
      <name val="Calibri"/>
      <family val="2"/>
    </font>
    <font>
      <b/>
      <sz val="14"/>
      <name val="Calibri"/>
      <family val="2"/>
    </font>
    <font>
      <b/>
      <sz val="16"/>
      <color theme="0"/>
      <name val="Arial"/>
      <family val="2"/>
    </font>
    <font>
      <u/>
      <sz val="10"/>
      <color theme="10"/>
      <name val="Arial"/>
      <family val="2"/>
    </font>
    <font>
      <sz val="10"/>
      <color rgb="FFFF0000"/>
      <name val="Arial"/>
      <family val="2"/>
    </font>
    <font>
      <sz val="10"/>
      <name val="Arial"/>
      <family val="2"/>
    </font>
    <font>
      <sz val="10"/>
      <color rgb="FF000000"/>
      <name val="Tahoma"/>
      <family val="2"/>
    </font>
    <font>
      <b/>
      <sz val="10"/>
      <color rgb="FF000000"/>
      <name val="Tahoma"/>
      <family val="2"/>
    </font>
    <font>
      <sz val="10"/>
      <color theme="1"/>
      <name val="Arial"/>
      <family val="2"/>
    </font>
    <font>
      <sz val="10"/>
      <color rgb="FF00B050"/>
      <name val="Arial"/>
      <family val="2"/>
    </font>
    <font>
      <u/>
      <sz val="10"/>
      <color theme="1"/>
      <name val="Arial"/>
      <family val="2"/>
    </font>
    <font>
      <b/>
      <sz val="12"/>
      <color theme="1"/>
      <name val="Arial"/>
      <family val="2"/>
    </font>
    <font>
      <sz val="14"/>
      <color rgb="FFFF0000"/>
      <name val="TH SarabunPSK"/>
      <family val="2"/>
    </font>
    <font>
      <sz val="11"/>
      <color rgb="FFFF0000"/>
      <name val="TH SarabunPSK"/>
      <family val="2"/>
    </font>
    <font>
      <b/>
      <sz val="14"/>
      <name val="TH SarabunPSK"/>
      <family val="2"/>
    </font>
    <font>
      <sz val="14"/>
      <color rgb="FFC00000"/>
      <name val="TH SarabunPSK"/>
      <family val="2"/>
    </font>
    <font>
      <sz val="14"/>
      <name val="TH SarabunPSK"/>
      <family val="2"/>
    </font>
    <font>
      <sz val="14"/>
      <color rgb="FF000000"/>
      <name val="TH SarabunPSK"/>
      <family val="2"/>
    </font>
    <font>
      <sz val="10"/>
      <color rgb="FF000000"/>
      <name val="Arial"/>
      <family val="2"/>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rgb="FFFFFFFF"/>
        <bgColor indexed="64"/>
      </patternFill>
    </fill>
    <fill>
      <patternFill patternType="solid">
        <fgColor rgb="FF06CCBE"/>
        <bgColor indexed="64"/>
      </patternFill>
    </fill>
    <fill>
      <patternFill patternType="solid">
        <fgColor rgb="FFFED230"/>
        <bgColor indexed="64"/>
      </patternFill>
    </fill>
    <fill>
      <patternFill patternType="solid">
        <fgColor rgb="FFF2007F"/>
        <bgColor indexed="64"/>
      </patternFill>
    </fill>
    <fill>
      <patternFill patternType="solid">
        <fgColor rgb="FFF60064"/>
        <bgColor indexed="64"/>
      </patternFill>
    </fill>
    <fill>
      <patternFill patternType="solid">
        <fgColor rgb="FFFFFF00"/>
        <bgColor indexed="64"/>
      </patternFill>
    </fill>
    <fill>
      <patternFill patternType="solid">
        <fgColor rgb="FFE1E2D4"/>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17CFCB"/>
        <bgColor indexed="64"/>
      </patternFill>
    </fill>
    <fill>
      <patternFill patternType="solid">
        <fgColor rgb="FFC00000"/>
        <bgColor indexed="64"/>
      </patternFill>
    </fill>
  </fills>
  <borders count="42">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rgb="FF06CCBE"/>
      </left>
      <right style="thin">
        <color rgb="FF06CCBE"/>
      </right>
      <top style="thin">
        <color rgb="FF06CCBE"/>
      </top>
      <bottom style="thin">
        <color rgb="FF06CCBE"/>
      </bottom>
      <diagonal/>
    </border>
    <border>
      <left/>
      <right/>
      <top style="thin">
        <color rgb="FF06CCBE"/>
      </top>
      <bottom/>
      <diagonal/>
    </border>
    <border>
      <left/>
      <right/>
      <top style="thin">
        <color rgb="FF06CCBE"/>
      </top>
      <bottom style="thin">
        <color rgb="FF06CCBE"/>
      </bottom>
      <diagonal/>
    </border>
    <border>
      <left style="thin">
        <color theme="0"/>
      </left>
      <right/>
      <top style="thin">
        <color theme="0"/>
      </top>
      <bottom style="thin">
        <color theme="0"/>
      </bottom>
      <diagonal/>
    </border>
    <border diagonalUp="1">
      <left/>
      <right/>
      <top style="thin">
        <color theme="0"/>
      </top>
      <bottom style="thin">
        <color theme="0"/>
      </bottom>
      <diagonal style="thin">
        <color theme="0"/>
      </diagonal>
    </border>
    <border>
      <left/>
      <right/>
      <top style="thin">
        <color theme="0"/>
      </top>
      <bottom style="thin">
        <color theme="0"/>
      </bottom>
      <diagonal/>
    </border>
    <border>
      <left style="thin">
        <color indexed="64"/>
      </left>
      <right style="thin">
        <color indexed="64"/>
      </right>
      <top style="thin">
        <color theme="0"/>
      </top>
      <bottom style="thin">
        <color theme="0"/>
      </bottom>
      <diagonal/>
    </border>
    <border>
      <left/>
      <right style="thin">
        <color rgb="FF06CCBE"/>
      </right>
      <top style="thin">
        <color rgb="FF06CCBE"/>
      </top>
      <bottom style="thin">
        <color rgb="FF06CCBE"/>
      </bottom>
      <diagonal/>
    </border>
    <border>
      <left/>
      <right/>
      <top/>
      <bottom style="thin">
        <color rgb="FF06CCBE"/>
      </bottom>
      <diagonal/>
    </border>
    <border>
      <left style="thin">
        <color rgb="FF06CCBE"/>
      </left>
      <right/>
      <top style="thin">
        <color rgb="FF06CCBE"/>
      </top>
      <bottom style="thin">
        <color rgb="FF06CCBE"/>
      </bottom>
      <diagonal/>
    </border>
    <border>
      <left/>
      <right style="thin">
        <color theme="0"/>
      </right>
      <top style="thin">
        <color rgb="FF06CCBE"/>
      </top>
      <bottom style="thin">
        <color rgb="FF06CCBE"/>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06CCBE"/>
      </left>
      <right style="thin">
        <color theme="0"/>
      </right>
      <top style="thin">
        <color rgb="FF06CCBE"/>
      </top>
      <bottom/>
      <diagonal/>
    </border>
    <border>
      <left style="thin">
        <color rgb="FF06CCBE"/>
      </left>
      <right style="thin">
        <color theme="0"/>
      </right>
      <top/>
      <bottom style="thin">
        <color rgb="FF06CCBE"/>
      </bottom>
      <diagonal/>
    </border>
    <border>
      <left style="medium">
        <color rgb="FF06CCBE"/>
      </left>
      <right style="medium">
        <color rgb="FF06CCBE"/>
      </right>
      <top style="medium">
        <color rgb="FF06CCBE"/>
      </top>
      <bottom style="medium">
        <color rgb="FF06CCBE"/>
      </bottom>
      <diagonal/>
    </border>
    <border>
      <left style="thin">
        <color indexed="64"/>
      </left>
      <right style="medium">
        <color rgb="FF06CCBE"/>
      </right>
      <top style="thin">
        <color indexed="64"/>
      </top>
      <bottom/>
      <diagonal/>
    </border>
    <border>
      <left style="medium">
        <color rgb="FF06CCBE"/>
      </left>
      <right style="thin">
        <color indexed="64"/>
      </right>
      <top style="thin">
        <color indexed="64"/>
      </top>
      <bottom/>
      <diagonal/>
    </border>
    <border>
      <left style="thin">
        <color indexed="64"/>
      </left>
      <right style="medium">
        <color rgb="FF06CCBE"/>
      </right>
      <top/>
      <bottom style="thin">
        <color indexed="64"/>
      </bottom>
      <diagonal/>
    </border>
    <border>
      <left style="medium">
        <color rgb="FF06CCBE"/>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theme="0"/>
      </top>
      <bottom/>
      <diagonal/>
    </border>
    <border>
      <left/>
      <right/>
      <top/>
      <bottom style="thin">
        <color theme="0"/>
      </bottom>
      <diagonal/>
    </border>
    <border>
      <left style="thin">
        <color indexed="64"/>
      </left>
      <right style="thin">
        <color indexed="64"/>
      </right>
      <top/>
      <bottom/>
      <diagonal/>
    </border>
    <border>
      <left style="medium">
        <color rgb="FF06CCBE"/>
      </left>
      <right style="medium">
        <color rgb="FF06CCBE"/>
      </right>
      <top style="medium">
        <color rgb="FF06CCBE"/>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0" fontId="25" fillId="0" borderId="0" applyNumberFormat="0" applyFill="0" applyBorder="0" applyAlignment="0" applyProtection="0"/>
    <xf numFmtId="187" fontId="27" fillId="0" borderId="0" applyFont="0" applyFill="0" applyBorder="0" applyAlignment="0" applyProtection="0"/>
  </cellStyleXfs>
  <cellXfs count="254">
    <xf numFmtId="0" fontId="0" fillId="0" borderId="0" xfId="0"/>
    <xf numFmtId="0" fontId="1" fillId="0" borderId="3" xfId="0" applyFont="1" applyBorder="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189" fontId="1" fillId="0" borderId="0" xfId="0" applyNumberFormat="1" applyFont="1" applyAlignment="1">
      <alignment wrapText="1"/>
    </xf>
    <xf numFmtId="0" fontId="7" fillId="3" borderId="0" xfId="0" applyFont="1" applyFill="1" applyAlignment="1" applyProtection="1">
      <alignment horizontal="center" vertical="center" wrapText="1"/>
      <protection locked="0"/>
    </xf>
    <xf numFmtId="0" fontId="7" fillId="3" borderId="0" xfId="0" applyFont="1" applyFill="1" applyAlignment="1">
      <alignment horizontal="center" vertical="center" wrapText="1"/>
    </xf>
    <xf numFmtId="0" fontId="8" fillId="4" borderId="0" xfId="0" applyFont="1" applyFill="1" applyAlignment="1" applyProtection="1">
      <alignment horizontal="left" vertical="center"/>
      <protection locked="0"/>
    </xf>
    <xf numFmtId="0" fontId="9" fillId="3" borderId="0" xfId="0" applyFont="1" applyFill="1" applyAlignment="1" applyProtection="1">
      <alignment horizontal="left" vertical="center"/>
      <protection locked="0"/>
    </xf>
    <xf numFmtId="190" fontId="1" fillId="0" borderId="0" xfId="0" applyNumberFormat="1" applyFont="1" applyAlignment="1">
      <alignment wrapText="1"/>
    </xf>
    <xf numFmtId="190" fontId="7" fillId="3" borderId="0" xfId="0" applyNumberFormat="1" applyFont="1" applyFill="1" applyAlignment="1" applyProtection="1">
      <alignment horizontal="center" vertical="center" wrapText="1"/>
      <protection locked="0"/>
    </xf>
    <xf numFmtId="190" fontId="7" fillId="3" borderId="0" xfId="0" applyNumberFormat="1" applyFont="1" applyFill="1" applyAlignment="1">
      <alignment horizontal="center" vertical="center" wrapText="1"/>
    </xf>
    <xf numFmtId="0" fontId="10" fillId="3" borderId="0" xfId="0" applyFont="1" applyFill="1" applyAlignment="1">
      <alignment horizontal="center"/>
    </xf>
    <xf numFmtId="0" fontId="1" fillId="3" borderId="0" xfId="0" applyFont="1" applyFill="1" applyAlignment="1">
      <alignment wrapText="1"/>
    </xf>
    <xf numFmtId="190" fontId="1" fillId="3" borderId="0" xfId="0" applyNumberFormat="1" applyFont="1" applyFill="1" applyAlignment="1">
      <alignment wrapText="1"/>
    </xf>
    <xf numFmtId="0" fontId="4" fillId="0" borderId="11" xfId="0" applyFont="1" applyBorder="1" applyAlignment="1">
      <alignment wrapText="1"/>
    </xf>
    <xf numFmtId="0" fontId="5" fillId="0" borderId="0" xfId="0" applyFont="1"/>
    <xf numFmtId="0" fontId="10" fillId="3" borderId="12" xfId="0" applyFont="1" applyFill="1" applyBorder="1" applyAlignment="1">
      <alignment horizontal="center"/>
    </xf>
    <xf numFmtId="0" fontId="10" fillId="3" borderId="13" xfId="0" applyFont="1" applyFill="1" applyBorder="1" applyAlignment="1">
      <alignment horizontal="center"/>
    </xf>
    <xf numFmtId="0" fontId="5" fillId="3" borderId="13" xfId="0" applyFont="1" applyFill="1" applyBorder="1" applyAlignment="1">
      <alignment wrapText="1"/>
    </xf>
    <xf numFmtId="190" fontId="5" fillId="3" borderId="13" xfId="0" applyNumberFormat="1" applyFont="1" applyFill="1" applyBorder="1" applyAlignment="1">
      <alignment wrapText="1"/>
    </xf>
    <xf numFmtId="0" fontId="5" fillId="3" borderId="12" xfId="0" applyFont="1" applyFill="1" applyBorder="1" applyAlignment="1">
      <alignment wrapText="1"/>
    </xf>
    <xf numFmtId="0" fontId="6" fillId="5" borderId="12" xfId="0" applyFont="1" applyFill="1" applyBorder="1" applyAlignment="1">
      <alignment vertical="top" textRotation="90" wrapText="1"/>
    </xf>
    <xf numFmtId="0" fontId="6" fillId="5" borderId="0" xfId="0" applyFont="1" applyFill="1" applyAlignment="1">
      <alignment vertical="top" textRotation="90" wrapText="1"/>
    </xf>
    <xf numFmtId="0" fontId="6" fillId="0" borderId="12" xfId="0" applyFont="1" applyBorder="1"/>
    <xf numFmtId="0" fontId="11" fillId="3" borderId="0" xfId="0" applyFont="1" applyFill="1" applyAlignment="1" applyProtection="1">
      <alignment horizontal="left" vertical="center"/>
      <protection locked="0"/>
    </xf>
    <xf numFmtId="0" fontId="12" fillId="6" borderId="14" xfId="0" applyFont="1" applyFill="1" applyBorder="1" applyAlignment="1">
      <alignment horizontal="left" vertical="center" wrapText="1"/>
    </xf>
    <xf numFmtId="0" fontId="6" fillId="0" borderId="11" xfId="0" applyFont="1" applyBorder="1" applyAlignment="1">
      <alignment horizontal="left" vertical="center"/>
    </xf>
    <xf numFmtId="0" fontId="6" fillId="3" borderId="13" xfId="0" applyFont="1" applyFill="1" applyBorder="1" applyAlignment="1">
      <alignment horizontal="left" vertical="center"/>
    </xf>
    <xf numFmtId="0" fontId="4" fillId="0" borderId="15" xfId="0" applyFont="1" applyBorder="1" applyAlignment="1">
      <alignment wrapText="1"/>
    </xf>
    <xf numFmtId="0" fontId="1" fillId="3" borderId="15" xfId="0" applyFont="1" applyFill="1" applyBorder="1" applyAlignment="1">
      <alignment wrapText="1"/>
    </xf>
    <xf numFmtId="0" fontId="7" fillId="3" borderId="15" xfId="0" applyFont="1" applyFill="1" applyBorder="1" applyAlignment="1" applyProtection="1">
      <alignment horizontal="center" vertical="center" wrapText="1"/>
      <protection locked="0"/>
    </xf>
    <xf numFmtId="0" fontId="5" fillId="3" borderId="15" xfId="0" applyFont="1" applyFill="1" applyBorder="1" applyAlignment="1">
      <alignment wrapText="1"/>
    </xf>
    <xf numFmtId="0" fontId="6" fillId="0" borderId="15" xfId="0" applyFont="1" applyBorder="1" applyAlignment="1">
      <alignment horizontal="left" vertical="center"/>
    </xf>
    <xf numFmtId="0" fontId="6" fillId="3" borderId="15" xfId="0" applyFont="1" applyFill="1" applyBorder="1" applyAlignment="1">
      <alignment horizontal="left" vertical="center"/>
    </xf>
    <xf numFmtId="0" fontId="6" fillId="0" borderId="15" xfId="0" applyFont="1" applyBorder="1"/>
    <xf numFmtId="0" fontId="5" fillId="0" borderId="15" xfId="0" applyFont="1" applyBorder="1"/>
    <xf numFmtId="0" fontId="8" fillId="3" borderId="0" xfId="0" applyFont="1" applyFill="1" applyAlignment="1" applyProtection="1">
      <alignment horizontal="left" vertical="center"/>
      <protection locked="0"/>
    </xf>
    <xf numFmtId="0" fontId="4" fillId="6" borderId="0" xfId="0" applyFont="1" applyFill="1" applyAlignment="1">
      <alignment wrapText="1"/>
    </xf>
    <xf numFmtId="190" fontId="4" fillId="6" borderId="0" xfId="0" applyNumberFormat="1" applyFont="1" applyFill="1" applyAlignment="1">
      <alignment wrapText="1"/>
    </xf>
    <xf numFmtId="0" fontId="4" fillId="0" borderId="16" xfId="0" applyFont="1" applyBorder="1" applyAlignment="1">
      <alignment wrapText="1"/>
    </xf>
    <xf numFmtId="0" fontId="1" fillId="0" borderId="16" xfId="0" applyFont="1" applyBorder="1" applyAlignment="1">
      <alignment wrapText="1"/>
    </xf>
    <xf numFmtId="0" fontId="7" fillId="0" borderId="16" xfId="0" applyFont="1" applyBorder="1" applyAlignment="1" applyProtection="1">
      <alignment horizontal="center" vertical="center" wrapText="1"/>
      <protection locked="0"/>
    </xf>
    <xf numFmtId="0" fontId="4" fillId="3" borderId="0" xfId="0" applyFont="1" applyFill="1" applyAlignment="1">
      <alignment wrapText="1"/>
    </xf>
    <xf numFmtId="0" fontId="1" fillId="3" borderId="0" xfId="0" applyFont="1" applyFill="1" applyAlignment="1" applyProtection="1">
      <alignment vertical="center" wrapText="1"/>
      <protection locked="0"/>
    </xf>
    <xf numFmtId="0" fontId="1" fillId="3" borderId="0" xfId="0" applyFont="1" applyFill="1" applyAlignment="1">
      <alignment vertical="center" wrapText="1"/>
    </xf>
    <xf numFmtId="0" fontId="4" fillId="0" borderId="0" xfId="0" applyFont="1" applyAlignment="1">
      <alignment wrapText="1"/>
    </xf>
    <xf numFmtId="0" fontId="7" fillId="0" borderId="0" xfId="0" applyFont="1" applyAlignment="1">
      <alignment horizontal="center" vertical="center" wrapText="1"/>
    </xf>
    <xf numFmtId="0" fontId="3"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 fillId="8" borderId="0" xfId="0" applyFont="1" applyFill="1" applyAlignment="1" applyProtection="1">
      <alignment vertical="center" wrapText="1"/>
      <protection locked="0"/>
    </xf>
    <xf numFmtId="190" fontId="3" fillId="9" borderId="0" xfId="0" applyNumberFormat="1" applyFont="1" applyFill="1" applyAlignment="1" applyProtection="1">
      <alignment vertical="center" wrapText="1"/>
      <protection locked="0"/>
    </xf>
    <xf numFmtId="0" fontId="3" fillId="9" borderId="0" xfId="0" applyFont="1" applyFill="1" applyAlignment="1" applyProtection="1">
      <alignment vertical="center" wrapText="1"/>
      <protection locked="0"/>
    </xf>
    <xf numFmtId="0" fontId="3" fillId="6" borderId="0" xfId="0" applyFont="1" applyFill="1" applyAlignment="1" applyProtection="1">
      <alignment vertical="center" wrapText="1"/>
      <protection locked="0"/>
    </xf>
    <xf numFmtId="190" fontId="3" fillId="6" borderId="0" xfId="0" applyNumberFormat="1" applyFont="1" applyFill="1" applyAlignment="1" applyProtection="1">
      <alignment vertical="center" wrapText="1"/>
      <protection locked="0"/>
    </xf>
    <xf numFmtId="0" fontId="3" fillId="10" borderId="0" xfId="0" applyFont="1" applyFill="1" applyAlignment="1" applyProtection="1">
      <alignment vertical="center" wrapText="1"/>
      <protection locked="0"/>
    </xf>
    <xf numFmtId="0" fontId="3" fillId="0" borderId="16" xfId="0" applyFont="1" applyBorder="1" applyAlignment="1" applyProtection="1">
      <alignment vertical="center" wrapText="1"/>
      <protection locked="0"/>
    </xf>
    <xf numFmtId="0" fontId="3" fillId="3" borderId="0" xfId="0" applyFont="1" applyFill="1" applyAlignment="1" applyProtection="1">
      <alignment vertical="center" wrapText="1"/>
      <protection locked="0"/>
    </xf>
    <xf numFmtId="190" fontId="3" fillId="3" borderId="0" xfId="0" applyNumberFormat="1" applyFont="1" applyFill="1" applyAlignment="1">
      <alignment vertical="center" wrapText="1"/>
    </xf>
    <xf numFmtId="0" fontId="3" fillId="3" borderId="0" xfId="0" applyFont="1" applyFill="1" applyAlignment="1">
      <alignment vertical="center" wrapText="1"/>
    </xf>
    <xf numFmtId="0" fontId="3" fillId="0" borderId="0" xfId="0" applyFont="1" applyAlignment="1">
      <alignment vertical="center" wrapText="1"/>
    </xf>
    <xf numFmtId="0" fontId="3" fillId="11" borderId="6" xfId="0" applyFont="1" applyFill="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5" fillId="3" borderId="0" xfId="0" applyFont="1" applyFill="1" applyAlignment="1">
      <alignment horizontal="left" vertical="center" wrapText="1"/>
    </xf>
    <xf numFmtId="0" fontId="5" fillId="0" borderId="0" xfId="0" applyFont="1" applyAlignment="1">
      <alignment horizontal="left" vertical="center" wrapText="1"/>
    </xf>
    <xf numFmtId="0" fontId="5" fillId="11" borderId="0" xfId="0" applyFont="1" applyFill="1" applyAlignment="1">
      <alignment horizontal="left" vertical="center" wrapText="1"/>
    </xf>
    <xf numFmtId="9" fontId="1" fillId="0" borderId="2" xfId="0" applyNumberFormat="1" applyFont="1" applyBorder="1" applyAlignment="1" applyProtection="1">
      <alignment horizontal="center" vertical="center" wrapText="1"/>
      <protection locked="0"/>
    </xf>
    <xf numFmtId="0" fontId="1" fillId="0" borderId="0" xfId="0" applyFont="1" applyAlignment="1">
      <alignment horizontal="center" wrapText="1"/>
    </xf>
    <xf numFmtId="188" fontId="1" fillId="0" borderId="3" xfId="0" applyNumberFormat="1" applyFont="1" applyBorder="1" applyAlignment="1" applyProtection="1">
      <alignment horizontal="left" vertical="top" wrapText="1"/>
      <protection locked="0"/>
    </xf>
    <xf numFmtId="0" fontId="1" fillId="3" borderId="0" xfId="0" applyFont="1" applyFill="1" applyAlignment="1">
      <alignment horizontal="left" vertical="top" wrapText="1"/>
    </xf>
    <xf numFmtId="0" fontId="1" fillId="0" borderId="0" xfId="0" applyFont="1" applyAlignment="1">
      <alignment horizontal="left" vertical="top" wrapText="1"/>
    </xf>
    <xf numFmtId="0" fontId="1" fillId="11" borderId="0" xfId="0" applyFont="1" applyFill="1" applyAlignment="1">
      <alignment horizontal="left" vertical="top" wrapText="1"/>
    </xf>
    <xf numFmtId="0" fontId="2" fillId="11" borderId="3" xfId="0" applyFont="1" applyFill="1" applyBorder="1" applyAlignment="1" applyProtection="1">
      <alignment horizontal="left" vertical="top" wrapText="1"/>
      <protection locked="0"/>
    </xf>
    <xf numFmtId="190" fontId="2" fillId="11" borderId="3" xfId="0" applyNumberFormat="1" applyFont="1" applyFill="1" applyBorder="1" applyAlignment="1">
      <alignment horizontal="left" vertical="top" wrapText="1"/>
    </xf>
    <xf numFmtId="189" fontId="1" fillId="2" borderId="0" xfId="0" applyNumberFormat="1" applyFont="1" applyFill="1" applyAlignment="1">
      <alignment wrapText="1"/>
    </xf>
    <xf numFmtId="0" fontId="1" fillId="0" borderId="34" xfId="0" applyFont="1" applyBorder="1" applyAlignment="1">
      <alignment wrapText="1"/>
    </xf>
    <xf numFmtId="0" fontId="1" fillId="0" borderId="35" xfId="0" applyFont="1" applyBorder="1" applyAlignment="1">
      <alignment wrapText="1"/>
    </xf>
    <xf numFmtId="0" fontId="1" fillId="0" borderId="2" xfId="0" applyFont="1" applyBorder="1" applyAlignment="1">
      <alignment wrapText="1"/>
    </xf>
    <xf numFmtId="0" fontId="1" fillId="0" borderId="5" xfId="0" applyFont="1" applyBorder="1" applyAlignment="1">
      <alignment wrapText="1"/>
    </xf>
    <xf numFmtId="0" fontId="1" fillId="0" borderId="32" xfId="0" applyFont="1" applyBorder="1" applyAlignment="1">
      <alignment wrapText="1"/>
    </xf>
    <xf numFmtId="0" fontId="1" fillId="0" borderId="36" xfId="0" applyFont="1" applyBorder="1" applyAlignment="1">
      <alignment wrapText="1"/>
    </xf>
    <xf numFmtId="0" fontId="3" fillId="11" borderId="10" xfId="0" applyFont="1" applyFill="1" applyBorder="1" applyAlignment="1" applyProtection="1">
      <alignment horizontal="left" vertical="center" wrapText="1"/>
      <protection locked="0"/>
    </xf>
    <xf numFmtId="0" fontId="3" fillId="0" borderId="3" xfId="0" applyFont="1" applyBorder="1" applyAlignment="1">
      <alignment wrapText="1"/>
    </xf>
    <xf numFmtId="0" fontId="2" fillId="0" borderId="7" xfId="0" applyFont="1" applyBorder="1"/>
    <xf numFmtId="0" fontId="2" fillId="0" borderId="33" xfId="0" applyFont="1" applyBorder="1"/>
    <xf numFmtId="189" fontId="2" fillId="2" borderId="31" xfId="0" applyNumberFormat="1" applyFont="1" applyFill="1" applyBorder="1"/>
    <xf numFmtId="189" fontId="2" fillId="2" borderId="33" xfId="0" applyNumberFormat="1" applyFont="1" applyFill="1" applyBorder="1"/>
    <xf numFmtId="0" fontId="2" fillId="0" borderId="33" xfId="0" applyFont="1" applyBorder="1" applyAlignment="1">
      <alignment horizontal="left"/>
    </xf>
    <xf numFmtId="4" fontId="1" fillId="0" borderId="3" xfId="0" applyNumberFormat="1" applyFont="1" applyBorder="1" applyAlignment="1" applyProtection="1">
      <alignment vertical="center" wrapText="1"/>
      <protection locked="0"/>
    </xf>
    <xf numFmtId="4" fontId="1" fillId="0" borderId="3" xfId="0" applyNumberFormat="1" applyFont="1" applyBorder="1" applyAlignment="1">
      <alignment wrapText="1"/>
    </xf>
    <xf numFmtId="4" fontId="1" fillId="0" borderId="3" xfId="0" applyNumberFormat="1" applyFont="1" applyBorder="1" applyAlignment="1">
      <alignment vertical="center" wrapText="1"/>
    </xf>
    <xf numFmtId="4" fontId="1" fillId="0" borderId="17" xfId="0" applyNumberFormat="1" applyFont="1" applyBorder="1" applyAlignment="1" applyProtection="1">
      <alignment vertical="center" wrapText="1"/>
      <protection locked="0"/>
    </xf>
    <xf numFmtId="4" fontId="1" fillId="0" borderId="0" xfId="0" applyNumberFormat="1" applyFont="1" applyAlignment="1">
      <alignment wrapText="1"/>
    </xf>
    <xf numFmtId="4" fontId="1" fillId="0" borderId="16" xfId="0" applyNumberFormat="1" applyFont="1" applyBorder="1" applyAlignment="1">
      <alignment wrapText="1"/>
    </xf>
    <xf numFmtId="0" fontId="18" fillId="0" borderId="0" xfId="0" applyFont="1"/>
    <xf numFmtId="0" fontId="17" fillId="0" borderId="0" xfId="0" applyFont="1"/>
    <xf numFmtId="0" fontId="19" fillId="0" borderId="0" xfId="0" applyFont="1" applyAlignment="1">
      <alignment horizontal="left" indent="4"/>
    </xf>
    <xf numFmtId="188" fontId="1" fillId="12" borderId="7" xfId="0" applyNumberFormat="1" applyFont="1" applyFill="1" applyBorder="1" applyAlignment="1" applyProtection="1">
      <alignment horizontal="left" vertical="top" wrapText="1"/>
      <protection locked="0"/>
    </xf>
    <xf numFmtId="0" fontId="7" fillId="0" borderId="0" xfId="0" applyFont="1" applyAlignment="1" applyProtection="1">
      <alignment horizontal="center" vertical="center" wrapText="1"/>
      <protection locked="0"/>
    </xf>
    <xf numFmtId="0" fontId="3" fillId="0" borderId="0" xfId="0" applyFont="1" applyAlignment="1" applyProtection="1">
      <alignment vertical="center" wrapText="1"/>
      <protection locked="0"/>
    </xf>
    <xf numFmtId="0" fontId="3" fillId="0" borderId="31" xfId="0" applyFont="1" applyBorder="1" applyAlignment="1" applyProtection="1">
      <alignment horizontal="left" vertical="center" wrapText="1"/>
      <protection locked="0"/>
    </xf>
    <xf numFmtId="0" fontId="1" fillId="0" borderId="0" xfId="0" applyFont="1" applyAlignment="1" applyProtection="1">
      <alignment horizontal="left" vertical="top" wrapText="1"/>
      <protection locked="0"/>
    </xf>
    <xf numFmtId="4" fontId="1" fillId="0" borderId="36" xfId="0" applyNumberFormat="1" applyFont="1" applyBorder="1" applyAlignment="1" applyProtection="1">
      <alignment vertical="center" wrapText="1"/>
      <protection locked="0"/>
    </xf>
    <xf numFmtId="0" fontId="3" fillId="3" borderId="0" xfId="0" applyFont="1" applyFill="1" applyAlignment="1" applyProtection="1">
      <alignment vertical="center"/>
      <protection locked="0"/>
    </xf>
    <xf numFmtId="0" fontId="1" fillId="13" borderId="26" xfId="0" applyFont="1" applyFill="1" applyBorder="1" applyAlignment="1" applyProtection="1">
      <alignment horizontal="left" vertical="top" wrapText="1"/>
      <protection locked="0"/>
    </xf>
    <xf numFmtId="190" fontId="1" fillId="13" borderId="26" xfId="0" applyNumberFormat="1" applyFont="1" applyFill="1" applyBorder="1" applyAlignment="1" applyProtection="1">
      <alignment horizontal="left" vertical="top" wrapText="1"/>
      <protection locked="0"/>
    </xf>
    <xf numFmtId="188" fontId="1" fillId="13" borderId="7" xfId="0" applyNumberFormat="1" applyFont="1" applyFill="1" applyBorder="1" applyAlignment="1" applyProtection="1">
      <alignment horizontal="left" vertical="top" wrapText="1"/>
      <protection locked="0"/>
    </xf>
    <xf numFmtId="0" fontId="2" fillId="13" borderId="3" xfId="0" applyFont="1" applyFill="1" applyBorder="1" applyAlignment="1" applyProtection="1">
      <alignment horizontal="left" vertical="top" wrapText="1"/>
      <protection locked="0"/>
    </xf>
    <xf numFmtId="190" fontId="2" fillId="13" borderId="3" xfId="0" applyNumberFormat="1" applyFont="1" applyFill="1" applyBorder="1" applyAlignment="1">
      <alignment horizontal="left" vertical="top" wrapText="1"/>
    </xf>
    <xf numFmtId="0" fontId="1" fillId="3" borderId="16" xfId="0" applyFont="1" applyFill="1" applyBorder="1" applyAlignment="1" applyProtection="1">
      <alignment horizontal="left" vertical="top" wrapText="1"/>
      <protection locked="0"/>
    </xf>
    <xf numFmtId="0" fontId="21" fillId="0" borderId="0" xfId="0" applyFont="1" applyAlignment="1">
      <alignment wrapText="1"/>
    </xf>
    <xf numFmtId="0" fontId="17" fillId="0" borderId="0" xfId="0" applyFont="1" applyAlignment="1">
      <alignment wrapText="1"/>
    </xf>
    <xf numFmtId="0" fontId="23" fillId="12" borderId="0" xfId="0" applyFont="1" applyFill="1" applyAlignment="1">
      <alignment horizontal="left"/>
    </xf>
    <xf numFmtId="0" fontId="19" fillId="0" borderId="0" xfId="0" applyFont="1" applyAlignment="1">
      <alignment horizontal="left" wrapText="1" indent="4"/>
    </xf>
    <xf numFmtId="0" fontId="22" fillId="14" borderId="0" xfId="0" applyFont="1" applyFill="1"/>
    <xf numFmtId="0" fontId="24" fillId="15" borderId="0" xfId="0" applyFont="1" applyFill="1"/>
    <xf numFmtId="0" fontId="3" fillId="11" borderId="26" xfId="0" applyFont="1" applyFill="1" applyBorder="1" applyAlignment="1" applyProtection="1">
      <alignment horizontal="left" vertical="center" wrapText="1"/>
      <protection locked="0"/>
    </xf>
    <xf numFmtId="0" fontId="15" fillId="6" borderId="0" xfId="0" applyFont="1" applyFill="1" applyAlignment="1">
      <alignment horizontal="center"/>
    </xf>
    <xf numFmtId="0" fontId="1" fillId="11" borderId="6" xfId="0" applyFont="1" applyFill="1" applyBorder="1" applyAlignment="1" applyProtection="1">
      <alignment horizontal="left" vertical="top" wrapText="1"/>
      <protection locked="0"/>
    </xf>
    <xf numFmtId="0" fontId="1" fillId="11" borderId="1" xfId="0" applyFont="1" applyFill="1" applyBorder="1" applyAlignment="1" applyProtection="1">
      <alignment horizontal="left" vertical="top" wrapText="1"/>
      <protection locked="0"/>
    </xf>
    <xf numFmtId="190" fontId="1" fillId="11" borderId="6" xfId="0" applyNumberFormat="1" applyFont="1" applyFill="1" applyBorder="1" applyAlignment="1" applyProtection="1">
      <alignment horizontal="left" vertical="top" wrapText="1"/>
      <protection locked="0"/>
    </xf>
    <xf numFmtId="190" fontId="1" fillId="11" borderId="1" xfId="0" applyNumberFormat="1" applyFont="1" applyFill="1" applyBorder="1" applyAlignment="1" applyProtection="1">
      <alignment horizontal="left" vertical="top" wrapText="1"/>
      <protection locked="0"/>
    </xf>
    <xf numFmtId="0" fontId="1" fillId="13" borderId="27" xfId="0" applyFont="1" applyFill="1" applyBorder="1" applyAlignment="1" applyProtection="1">
      <alignment horizontal="left" vertical="top" wrapText="1"/>
      <protection locked="0"/>
    </xf>
    <xf numFmtId="0" fontId="1" fillId="13" borderId="29" xfId="0" applyFont="1" applyFill="1" applyBorder="1" applyAlignment="1" applyProtection="1">
      <alignment horizontal="left" vertical="top" wrapText="1"/>
      <protection locked="0"/>
    </xf>
    <xf numFmtId="0" fontId="1" fillId="13" borderId="37" xfId="0" applyFont="1" applyFill="1" applyBorder="1" applyAlignment="1" applyProtection="1">
      <alignment horizontal="left" vertical="top" wrapText="1"/>
      <protection locked="0"/>
    </xf>
    <xf numFmtId="0" fontId="4" fillId="6" borderId="0" xfId="0" applyFont="1" applyFill="1"/>
    <xf numFmtId="0" fontId="1" fillId="3" borderId="0" xfId="0" applyFont="1" applyFill="1"/>
    <xf numFmtId="0" fontId="7" fillId="3" borderId="0" xfId="0" applyFont="1" applyFill="1" applyAlignment="1" applyProtection="1">
      <alignment horizontal="center" vertical="center"/>
      <protection locked="0"/>
    </xf>
    <xf numFmtId="0" fontId="3" fillId="6" borderId="0" xfId="0" applyFont="1" applyFill="1" applyAlignment="1" applyProtection="1">
      <alignment vertical="center"/>
      <protection locked="0"/>
    </xf>
    <xf numFmtId="0" fontId="1" fillId="13" borderId="26" xfId="0" applyFont="1" applyFill="1" applyBorder="1" applyAlignment="1" applyProtection="1">
      <alignment horizontal="left" vertical="top"/>
      <protection locked="0"/>
    </xf>
    <xf numFmtId="0" fontId="1" fillId="0" borderId="3" xfId="0" applyFont="1" applyBorder="1" applyAlignment="1" applyProtection="1">
      <alignment vertical="center"/>
      <protection locked="0"/>
    </xf>
    <xf numFmtId="0" fontId="1" fillId="0" borderId="0" xfId="0" applyFont="1"/>
    <xf numFmtId="0" fontId="1" fillId="10" borderId="3" xfId="0" applyFont="1" applyFill="1" applyBorder="1" applyAlignment="1">
      <alignment horizontal="center"/>
    </xf>
    <xf numFmtId="0" fontId="26" fillId="0" borderId="0" xfId="0" applyFont="1" applyAlignment="1">
      <alignment wrapText="1"/>
    </xf>
    <xf numFmtId="0" fontId="0" fillId="10" borderId="0" xfId="0" applyFill="1"/>
    <xf numFmtId="0" fontId="1" fillId="0" borderId="0" xfId="0" quotePrefix="1" applyFont="1"/>
    <xf numFmtId="4" fontId="31" fillId="0" borderId="17" xfId="0" applyNumberFormat="1" applyFont="1" applyBorder="1" applyAlignment="1" applyProtection="1">
      <alignment vertical="center" wrapText="1"/>
      <protection locked="0"/>
    </xf>
    <xf numFmtId="0" fontId="31" fillId="3" borderId="0" xfId="0" applyFont="1" applyFill="1" applyAlignment="1" applyProtection="1">
      <alignment vertical="center" wrapText="1"/>
      <protection locked="0"/>
    </xf>
    <xf numFmtId="0" fontId="31" fillId="3" borderId="0" xfId="0" applyFont="1" applyFill="1" applyAlignment="1">
      <alignment vertical="center" wrapText="1"/>
    </xf>
    <xf numFmtId="0" fontId="31" fillId="0" borderId="0" xfId="0" applyFont="1" applyAlignment="1">
      <alignment vertical="center" wrapText="1"/>
    </xf>
    <xf numFmtId="9" fontId="30" fillId="0" borderId="2" xfId="0" applyNumberFormat="1" applyFont="1" applyBorder="1" applyAlignment="1" applyProtection="1">
      <alignment horizontal="center" vertical="center" wrapText="1"/>
      <protection locked="0"/>
    </xf>
    <xf numFmtId="4" fontId="30" fillId="0" borderId="3" xfId="0" applyNumberFormat="1" applyFont="1" applyBorder="1" applyAlignment="1">
      <alignment vertical="center" wrapText="1"/>
    </xf>
    <xf numFmtId="4" fontId="30" fillId="0" borderId="36" xfId="0" applyNumberFormat="1" applyFont="1" applyBorder="1" applyAlignment="1" applyProtection="1">
      <alignment vertical="center" wrapText="1"/>
      <protection locked="0"/>
    </xf>
    <xf numFmtId="188" fontId="1" fillId="13" borderId="3" xfId="0" applyNumberFormat="1" applyFont="1" applyFill="1" applyBorder="1" applyAlignment="1" applyProtection="1">
      <alignment horizontal="left" vertical="top" wrapText="1"/>
      <protection locked="0"/>
    </xf>
    <xf numFmtId="0" fontId="30" fillId="0" borderId="3" xfId="0" applyFont="1" applyBorder="1" applyAlignment="1" applyProtection="1">
      <alignment vertical="top" wrapText="1"/>
      <protection locked="0"/>
    </xf>
    <xf numFmtId="187" fontId="30" fillId="0" borderId="3" xfId="2" applyFont="1" applyBorder="1" applyAlignment="1" applyProtection="1">
      <alignment vertical="top" wrapText="1"/>
      <protection locked="0"/>
    </xf>
    <xf numFmtId="0" fontId="30" fillId="0" borderId="0" xfId="0" applyFont="1" applyAlignment="1">
      <alignment wrapText="1"/>
    </xf>
    <xf numFmtId="0" fontId="30" fillId="0" borderId="3" xfId="0" applyFont="1" applyBorder="1" applyAlignment="1">
      <alignment wrapText="1"/>
    </xf>
    <xf numFmtId="0" fontId="30" fillId="0" borderId="2" xfId="0" applyFont="1" applyBorder="1" applyAlignment="1" applyProtection="1">
      <alignment vertical="center" wrapText="1"/>
      <protection locked="0"/>
    </xf>
    <xf numFmtId="4" fontId="30" fillId="0" borderId="2" xfId="0" applyNumberFormat="1" applyFont="1" applyBorder="1" applyAlignment="1" applyProtection="1">
      <alignment vertical="center" wrapText="1"/>
      <protection locked="0"/>
    </xf>
    <xf numFmtId="0" fontId="30" fillId="0" borderId="3" xfId="0" applyFont="1" applyBorder="1" applyAlignment="1" applyProtection="1">
      <alignment vertical="center" wrapText="1"/>
      <protection locked="0"/>
    </xf>
    <xf numFmtId="4" fontId="30" fillId="0" borderId="3" xfId="0" applyNumberFormat="1" applyFont="1" applyBorder="1" applyAlignment="1" applyProtection="1">
      <alignment vertical="center" wrapText="1"/>
      <protection locked="0"/>
    </xf>
    <xf numFmtId="0" fontId="30" fillId="0" borderId="2" xfId="0" applyFont="1" applyBorder="1" applyAlignment="1" applyProtection="1">
      <alignment vertical="center"/>
      <protection locked="0"/>
    </xf>
    <xf numFmtId="0" fontId="30" fillId="0" borderId="3" xfId="0" applyFont="1" applyBorder="1" applyAlignment="1">
      <alignment vertical="center" wrapText="1"/>
    </xf>
    <xf numFmtId="0" fontId="30" fillId="0" borderId="0" xfId="0" applyFont="1" applyAlignment="1">
      <alignment vertical="center" wrapText="1"/>
    </xf>
    <xf numFmtId="0" fontId="30" fillId="0" borderId="7" xfId="0" applyFont="1" applyBorder="1" applyAlignment="1">
      <alignment wrapText="1"/>
    </xf>
    <xf numFmtId="0" fontId="30" fillId="3" borderId="3" xfId="0" applyFont="1" applyFill="1" applyBorder="1" applyAlignment="1">
      <alignment wrapText="1"/>
    </xf>
    <xf numFmtId="0" fontId="30" fillId="0" borderId="5" xfId="0" applyFont="1" applyBorder="1" applyAlignment="1" applyProtection="1">
      <alignment vertical="center" wrapText="1"/>
      <protection locked="0"/>
    </xf>
    <xf numFmtId="0" fontId="30" fillId="0" borderId="3" xfId="0" quotePrefix="1" applyFont="1" applyBorder="1" applyAlignment="1" applyProtection="1">
      <alignment vertical="center" wrapText="1"/>
      <protection locked="0"/>
    </xf>
    <xf numFmtId="0" fontId="30" fillId="0" borderId="2" xfId="0" applyFont="1" applyBorder="1" applyAlignment="1">
      <alignment horizontal="center"/>
    </xf>
    <xf numFmtId="0" fontId="32" fillId="0" borderId="3" xfId="1" applyFont="1" applyBorder="1" applyAlignment="1" applyProtection="1">
      <alignment vertical="center"/>
      <protection locked="0"/>
    </xf>
    <xf numFmtId="0" fontId="30" fillId="0" borderId="6" xfId="0" applyFont="1" applyBorder="1" applyAlignment="1" applyProtection="1">
      <alignment vertical="center" wrapText="1"/>
      <protection locked="0"/>
    </xf>
    <xf numFmtId="0" fontId="30" fillId="16" borderId="3" xfId="0" applyFont="1" applyFill="1" applyBorder="1" applyAlignment="1" applyProtection="1">
      <alignment vertical="center" wrapText="1"/>
      <protection locked="0"/>
    </xf>
    <xf numFmtId="4" fontId="30" fillId="16" borderId="3" xfId="0" applyNumberFormat="1" applyFont="1" applyFill="1" applyBorder="1" applyAlignment="1" applyProtection="1">
      <alignment vertical="center" wrapText="1"/>
      <protection locked="0"/>
    </xf>
    <xf numFmtId="0" fontId="32" fillId="16" borderId="2" xfId="1" applyFont="1" applyFill="1" applyBorder="1" applyAlignment="1" applyProtection="1">
      <alignment vertical="center"/>
      <protection locked="0"/>
    </xf>
    <xf numFmtId="0" fontId="30" fillId="0" borderId="1" xfId="0" applyFont="1" applyBorder="1" applyAlignment="1" applyProtection="1">
      <alignment vertical="center" wrapText="1"/>
      <protection locked="0"/>
    </xf>
    <xf numFmtId="4" fontId="30" fillId="0" borderId="0" xfId="0" applyNumberFormat="1" applyFont="1" applyAlignment="1">
      <alignment wrapText="1"/>
    </xf>
    <xf numFmtId="4" fontId="30" fillId="0" borderId="3" xfId="0" applyNumberFormat="1" applyFont="1" applyBorder="1" applyAlignment="1">
      <alignment wrapText="1"/>
    </xf>
    <xf numFmtId="189" fontId="30" fillId="0" borderId="0" xfId="0" applyNumberFormat="1" applyFont="1" applyAlignment="1">
      <alignment wrapText="1"/>
    </xf>
    <xf numFmtId="190" fontId="30" fillId="0" borderId="0" xfId="0" applyNumberFormat="1" applyFont="1" applyAlignment="1">
      <alignment wrapText="1"/>
    </xf>
    <xf numFmtId="0" fontId="30" fillId="0" borderId="31" xfId="0" applyFont="1" applyBorder="1" applyAlignment="1">
      <alignment wrapText="1"/>
    </xf>
    <xf numFmtId="4" fontId="30" fillId="0" borderId="7" xfId="0" applyNumberFormat="1" applyFont="1" applyBorder="1" applyAlignment="1">
      <alignment wrapText="1"/>
    </xf>
    <xf numFmtId="4" fontId="30" fillId="0" borderId="9" xfId="0" applyNumberFormat="1" applyFont="1" applyBorder="1" applyAlignment="1">
      <alignment wrapText="1"/>
    </xf>
    <xf numFmtId="4" fontId="30" fillId="0" borderId="2" xfId="0" applyNumberFormat="1" applyFont="1" applyBorder="1" applyAlignment="1">
      <alignment wrapText="1"/>
    </xf>
    <xf numFmtId="4" fontId="30" fillId="0" borderId="31" xfId="0" applyNumberFormat="1" applyFont="1" applyBorder="1" applyAlignment="1">
      <alignment wrapText="1"/>
    </xf>
    <xf numFmtId="4" fontId="30" fillId="0" borderId="6" xfId="0" applyNumberFormat="1" applyFont="1" applyBorder="1" applyAlignment="1">
      <alignment horizontal="right" vertical="center" wrapText="1"/>
    </xf>
    <xf numFmtId="4" fontId="30" fillId="0" borderId="0" xfId="0" applyNumberFormat="1" applyFont="1" applyAlignment="1">
      <alignment horizontal="right" vertical="center" wrapText="1"/>
    </xf>
    <xf numFmtId="4" fontId="30" fillId="0" borderId="33" xfId="0" applyNumberFormat="1" applyFont="1" applyBorder="1" applyAlignment="1">
      <alignment wrapText="1"/>
    </xf>
    <xf numFmtId="4" fontId="30" fillId="0" borderId="1" xfId="0" applyNumberFormat="1" applyFont="1" applyBorder="1" applyAlignment="1">
      <alignment horizontal="right" vertical="center" wrapText="1"/>
    </xf>
    <xf numFmtId="0" fontId="30" fillId="0" borderId="33" xfId="0" applyFont="1" applyBorder="1" applyAlignment="1">
      <alignment wrapText="1"/>
    </xf>
    <xf numFmtId="0" fontId="30" fillId="0" borderId="9" xfId="0" applyFont="1" applyBorder="1" applyAlignment="1">
      <alignment wrapText="1"/>
    </xf>
    <xf numFmtId="0" fontId="30" fillId="0" borderId="1" xfId="0" applyFont="1" applyBorder="1" applyAlignment="1">
      <alignment wrapText="1"/>
    </xf>
    <xf numFmtId="0" fontId="33" fillId="0" borderId="0" xfId="0" applyFont="1" applyAlignment="1" applyProtection="1">
      <alignment vertical="center" wrapText="1"/>
      <protection locked="0"/>
    </xf>
    <xf numFmtId="0" fontId="3" fillId="11" borderId="6" xfId="0" applyFont="1" applyFill="1" applyBorder="1" applyAlignment="1" applyProtection="1">
      <alignment horizontal="center" vertical="center" wrapText="1"/>
      <protection locked="0"/>
    </xf>
    <xf numFmtId="0" fontId="3" fillId="11" borderId="7" xfId="0" applyFont="1" applyFill="1" applyBorder="1" applyAlignment="1" applyProtection="1">
      <alignment horizontal="center" vertical="center" wrapText="1"/>
      <protection locked="0"/>
    </xf>
    <xf numFmtId="0" fontId="3" fillId="11" borderId="5" xfId="0" applyFont="1" applyFill="1" applyBorder="1" applyAlignment="1" applyProtection="1">
      <alignment horizontal="left" wrapText="1"/>
      <protection locked="0"/>
    </xf>
    <xf numFmtId="0" fontId="3" fillId="11" borderId="8" xfId="0" applyFont="1" applyFill="1" applyBorder="1" applyAlignment="1" applyProtection="1">
      <alignment horizontal="center" vertical="center" wrapText="1"/>
      <protection locked="0"/>
    </xf>
    <xf numFmtId="0" fontId="3" fillId="11" borderId="26" xfId="0" applyFont="1" applyFill="1" applyBorder="1" applyAlignment="1" applyProtection="1">
      <alignment horizontal="center" vertical="center" wrapText="1"/>
      <protection locked="0"/>
    </xf>
    <xf numFmtId="0" fontId="3" fillId="11" borderId="26" xfId="0" applyFont="1" applyFill="1" applyBorder="1" applyAlignment="1" applyProtection="1">
      <alignment horizontal="center" vertical="center"/>
      <protection locked="0"/>
    </xf>
    <xf numFmtId="0" fontId="34" fillId="0" borderId="0" xfId="0" applyFont="1"/>
    <xf numFmtId="0" fontId="36" fillId="0" borderId="0" xfId="0" applyFont="1" applyAlignment="1">
      <alignment vertical="center"/>
    </xf>
    <xf numFmtId="0" fontId="37" fillId="0" borderId="0" xfId="0" applyFont="1"/>
    <xf numFmtId="0" fontId="37" fillId="0" borderId="0" xfId="0" applyFont="1" applyAlignment="1">
      <alignment vertical="center"/>
    </xf>
    <xf numFmtId="0" fontId="39" fillId="0" borderId="0" xfId="0" applyFont="1" applyAlignment="1">
      <alignment vertical="center"/>
    </xf>
    <xf numFmtId="0" fontId="39" fillId="0" borderId="0" xfId="0" applyFont="1"/>
    <xf numFmtId="0" fontId="34" fillId="0" borderId="0" xfId="0" applyFont="1" applyAlignment="1">
      <alignment vertical="center"/>
    </xf>
    <xf numFmtId="0" fontId="38" fillId="0" borderId="0" xfId="0" applyFont="1"/>
    <xf numFmtId="0" fontId="38" fillId="0" borderId="0" xfId="0" applyFont="1" applyAlignment="1">
      <alignment vertical="center"/>
    </xf>
    <xf numFmtId="3" fontId="30" fillId="0" borderId="3" xfId="0" applyNumberFormat="1" applyFont="1" applyBorder="1" applyAlignment="1" applyProtection="1">
      <alignment vertical="top" wrapText="1"/>
      <protection locked="0"/>
    </xf>
    <xf numFmtId="0" fontId="6" fillId="5" borderId="12" xfId="0" applyFont="1" applyFill="1" applyBorder="1" applyAlignment="1">
      <alignment vertical="top" wrapText="1"/>
    </xf>
    <xf numFmtId="0" fontId="6" fillId="5" borderId="0" xfId="0" applyFont="1" applyFill="1" applyAlignment="1">
      <alignment vertical="top" wrapText="1"/>
    </xf>
    <xf numFmtId="0" fontId="6" fillId="5" borderId="0" xfId="0" applyFont="1" applyFill="1" applyAlignment="1">
      <alignment vertical="top" textRotation="90" wrapText="1"/>
    </xf>
    <xf numFmtId="0" fontId="6" fillId="5" borderId="12" xfId="0" applyFont="1" applyFill="1" applyBorder="1" applyAlignment="1">
      <alignment vertical="top" textRotation="90" wrapText="1"/>
    </xf>
    <xf numFmtId="0" fontId="6" fillId="5" borderId="18"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12" fillId="6" borderId="24" xfId="0" applyFont="1" applyFill="1" applyBorder="1" applyAlignment="1">
      <alignment horizontal="left" vertical="center" wrapText="1"/>
    </xf>
    <xf numFmtId="0" fontId="12" fillId="6" borderId="25" xfId="0" applyFont="1" applyFill="1" applyBorder="1" applyAlignment="1">
      <alignment horizontal="left" vertical="center" wrapText="1"/>
    </xf>
    <xf numFmtId="0" fontId="12" fillId="6" borderId="22" xfId="0" applyFont="1" applyFill="1" applyBorder="1" applyAlignment="1">
      <alignment horizontal="left" vertical="center"/>
    </xf>
    <xf numFmtId="0" fontId="6" fillId="5" borderId="18" xfId="0" applyFont="1" applyFill="1" applyBorder="1" applyAlignment="1">
      <alignment horizontal="left" vertical="center"/>
    </xf>
    <xf numFmtId="0" fontId="6" fillId="5" borderId="11" xfId="0" applyFont="1" applyFill="1" applyBorder="1" applyAlignment="1">
      <alignment horizontal="left" vertical="center"/>
    </xf>
    <xf numFmtId="0" fontId="6" fillId="5" borderId="20" xfId="0" applyFont="1" applyFill="1" applyBorder="1" applyAlignment="1">
      <alignment horizontal="left" vertical="center"/>
    </xf>
    <xf numFmtId="0" fontId="14" fillId="6" borderId="14" xfId="0" applyFont="1" applyFill="1" applyBorder="1" applyAlignment="1">
      <alignment horizontal="left" vertical="center" wrapText="1"/>
    </xf>
    <xf numFmtId="0" fontId="14" fillId="6" borderId="16" xfId="0" applyFont="1" applyFill="1" applyBorder="1" applyAlignment="1">
      <alignment horizontal="left" vertical="center" wrapText="1"/>
    </xf>
    <xf numFmtId="0" fontId="14" fillId="6" borderId="23" xfId="0" applyFont="1" applyFill="1" applyBorder="1" applyAlignment="1">
      <alignment horizontal="left" vertical="center" wrapText="1"/>
    </xf>
    <xf numFmtId="0" fontId="14" fillId="6" borderId="22" xfId="0" applyFont="1" applyFill="1" applyBorder="1" applyAlignment="1">
      <alignment horizontal="left" vertical="center" wrapText="1"/>
    </xf>
    <xf numFmtId="0" fontId="12" fillId="6" borderId="22" xfId="0" applyFont="1" applyFill="1" applyBorder="1" applyAlignment="1">
      <alignment horizontal="left" vertical="center" wrapText="1"/>
    </xf>
    <xf numFmtId="0" fontId="12" fillId="6" borderId="14" xfId="0" applyFont="1" applyFill="1" applyBorder="1" applyAlignment="1">
      <alignment horizontal="left" vertical="center" wrapText="1"/>
    </xf>
    <xf numFmtId="0" fontId="12" fillId="6" borderId="23" xfId="0" applyFont="1" applyFill="1" applyBorder="1" applyAlignment="1">
      <alignment horizontal="left" vertical="center" wrapText="1"/>
    </xf>
    <xf numFmtId="0" fontId="6" fillId="0" borderId="18" xfId="0" applyFont="1" applyBorder="1" applyAlignment="1">
      <alignment horizontal="left" vertical="center"/>
    </xf>
    <xf numFmtId="0" fontId="6" fillId="0" borderId="20" xfId="0" applyFont="1" applyBorder="1" applyAlignment="1">
      <alignment horizontal="left" vertical="center"/>
    </xf>
    <xf numFmtId="0" fontId="6" fillId="0" borderId="18" xfId="0" applyFont="1" applyBorder="1" applyAlignment="1">
      <alignment horizontal="left" vertical="center" wrapText="1"/>
    </xf>
    <xf numFmtId="0" fontId="6" fillId="0" borderId="20" xfId="0" applyFont="1" applyBorder="1" applyAlignment="1">
      <alignment horizontal="left" vertical="center" wrapText="1"/>
    </xf>
    <xf numFmtId="0" fontId="6" fillId="5" borderId="20" xfId="0" applyFont="1" applyFill="1" applyBorder="1" applyAlignment="1">
      <alignment horizontal="left" vertical="center" wrapText="1"/>
    </xf>
    <xf numFmtId="0" fontId="8" fillId="4" borderId="19" xfId="0" applyFont="1" applyFill="1" applyBorder="1" applyAlignment="1" applyProtection="1">
      <alignment horizontal="left" vertical="center"/>
      <protection locked="0"/>
    </xf>
    <xf numFmtId="0" fontId="14" fillId="0" borderId="20" xfId="0" applyFont="1" applyBorder="1" applyAlignment="1">
      <alignment vertical="center" wrapText="1"/>
    </xf>
    <xf numFmtId="0" fontId="14" fillId="0" borderId="13" xfId="0" applyFont="1" applyBorder="1" applyAlignment="1">
      <alignment vertical="center" wrapText="1"/>
    </xf>
    <xf numFmtId="0" fontId="14" fillId="0" borderId="21" xfId="0" applyFont="1" applyBorder="1" applyAlignment="1">
      <alignment vertical="center" wrapText="1"/>
    </xf>
    <xf numFmtId="0" fontId="14" fillId="0" borderId="20" xfId="0" applyFont="1" applyBorder="1" applyAlignment="1">
      <alignment horizontal="left" vertical="center" wrapText="1"/>
    </xf>
    <xf numFmtId="0" fontId="14" fillId="0" borderId="13" xfId="0" applyFont="1" applyBorder="1" applyAlignment="1">
      <alignment horizontal="left" vertical="center" wrapText="1"/>
    </xf>
    <xf numFmtId="0" fontId="14" fillId="0" borderId="21" xfId="0" applyFont="1" applyBorder="1" applyAlignment="1">
      <alignment horizontal="left" vertical="center" wrapText="1"/>
    </xf>
    <xf numFmtId="0" fontId="15" fillId="6" borderId="11" xfId="0" applyFont="1" applyFill="1" applyBorder="1" applyAlignment="1">
      <alignment horizontal="center"/>
    </xf>
    <xf numFmtId="0" fontId="6" fillId="3" borderId="13"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0" xfId="0" applyFont="1" applyFill="1" applyAlignment="1">
      <alignment horizontal="left" vertical="center" wrapText="1"/>
    </xf>
    <xf numFmtId="0" fontId="14" fillId="3" borderId="19" xfId="0" applyFont="1" applyFill="1" applyBorder="1" applyAlignment="1">
      <alignment horizontal="left" vertical="center" wrapText="1"/>
    </xf>
    <xf numFmtId="0" fontId="14" fillId="3" borderId="0" xfId="0" applyFont="1" applyFill="1" applyAlignment="1">
      <alignment horizontal="left" vertical="center" wrapText="1"/>
    </xf>
    <xf numFmtId="0" fontId="1" fillId="13" borderId="6" xfId="0" applyFont="1" applyFill="1" applyBorder="1" applyAlignment="1" applyProtection="1">
      <alignment horizontal="left" vertical="top" wrapText="1"/>
      <protection locked="0"/>
    </xf>
    <xf numFmtId="0" fontId="1" fillId="13" borderId="1" xfId="0" applyFont="1" applyFill="1" applyBorder="1" applyAlignment="1" applyProtection="1">
      <alignment horizontal="left" vertical="top" wrapText="1"/>
      <protection locked="0"/>
    </xf>
    <xf numFmtId="0" fontId="1" fillId="13" borderId="28" xfId="0" applyFont="1" applyFill="1" applyBorder="1" applyAlignment="1" applyProtection="1">
      <alignment horizontal="left" vertical="top" wrapText="1"/>
      <protection locked="0"/>
    </xf>
    <xf numFmtId="0" fontId="1" fillId="13" borderId="30" xfId="0" applyFont="1" applyFill="1" applyBorder="1" applyAlignment="1" applyProtection="1">
      <alignment horizontal="left" vertical="top" wrapText="1"/>
      <protection locked="0"/>
    </xf>
    <xf numFmtId="0" fontId="3" fillId="10" borderId="9" xfId="0" applyFont="1" applyFill="1" applyBorder="1" applyAlignment="1" applyProtection="1">
      <alignment horizontal="left" vertical="center" wrapText="1"/>
      <protection locked="0"/>
    </xf>
    <xf numFmtId="0" fontId="1" fillId="11" borderId="7" xfId="0" applyFont="1" applyFill="1" applyBorder="1" applyAlignment="1" applyProtection="1">
      <alignment horizontal="left" vertical="top" wrapText="1"/>
      <protection locked="0"/>
    </xf>
    <xf numFmtId="0" fontId="1" fillId="11" borderId="5" xfId="0" applyFont="1" applyFill="1" applyBorder="1" applyAlignment="1" applyProtection="1">
      <alignment horizontal="left" vertical="top" wrapText="1"/>
      <protection locked="0"/>
    </xf>
    <xf numFmtId="0" fontId="3" fillId="11" borderId="7" xfId="0" applyFont="1" applyFill="1" applyBorder="1" applyAlignment="1" applyProtection="1">
      <alignment horizontal="left" vertical="center"/>
      <protection locked="0"/>
    </xf>
    <xf numFmtId="0" fontId="3" fillId="11" borderId="4" xfId="0" applyFont="1" applyFill="1" applyBorder="1" applyAlignment="1" applyProtection="1">
      <alignment horizontal="left" vertical="center"/>
      <protection locked="0"/>
    </xf>
    <xf numFmtId="0" fontId="3" fillId="11" borderId="5" xfId="0" applyFont="1" applyFill="1" applyBorder="1" applyAlignment="1" applyProtection="1">
      <alignment horizontal="left" vertical="center"/>
      <protection locked="0"/>
    </xf>
    <xf numFmtId="0" fontId="1" fillId="13" borderId="7" xfId="0" applyFont="1" applyFill="1" applyBorder="1" applyAlignment="1" applyProtection="1">
      <alignment horizontal="left" vertical="top" wrapText="1"/>
      <protection locked="0"/>
    </xf>
    <xf numFmtId="0" fontId="1" fillId="13" borderId="5" xfId="0" applyFont="1" applyFill="1" applyBorder="1" applyAlignment="1" applyProtection="1">
      <alignment horizontal="left" vertical="top" wrapText="1"/>
      <protection locked="0"/>
    </xf>
    <xf numFmtId="0" fontId="40" fillId="5" borderId="38" xfId="0" applyFont="1" applyFill="1" applyBorder="1" applyAlignment="1">
      <alignment horizontal="center" vertical="center" wrapText="1"/>
    </xf>
    <xf numFmtId="4" fontId="40" fillId="5" borderId="39" xfId="0" applyNumberFormat="1" applyFont="1" applyFill="1" applyBorder="1" applyAlignment="1">
      <alignment horizontal="center" vertical="center" wrapText="1"/>
    </xf>
    <xf numFmtId="0" fontId="40" fillId="5" borderId="39" xfId="0" applyFont="1" applyFill="1" applyBorder="1" applyAlignment="1">
      <alignment horizontal="center" vertical="center" wrapText="1"/>
    </xf>
    <xf numFmtId="0" fontId="40" fillId="5" borderId="40" xfId="0" applyFont="1" applyFill="1" applyBorder="1" applyAlignment="1">
      <alignment horizontal="center" vertical="center" wrapText="1"/>
    </xf>
    <xf numFmtId="4" fontId="40" fillId="5" borderId="41" xfId="0" applyNumberFormat="1" applyFont="1" applyFill="1" applyBorder="1" applyAlignment="1">
      <alignment horizontal="center" vertical="center" wrapText="1"/>
    </xf>
    <xf numFmtId="0" fontId="40" fillId="5" borderId="41" xfId="0" applyFont="1" applyFill="1" applyBorder="1" applyAlignment="1">
      <alignment horizontal="center" vertical="center" wrapText="1"/>
    </xf>
  </cellXfs>
  <cellStyles count="3">
    <cellStyle name="Hyperlink" xfId="1" builtinId="8"/>
    <cellStyle name="จุลภาค" xfId="2" builtinId="3"/>
    <cellStyle name="ปกติ" xfId="0" builtinId="0"/>
  </cellStyles>
  <dxfs count="0"/>
  <tableStyles count="0" defaultTableStyle="TableStyleMedium9" defaultPivotStyle="PivotStyleLight16"/>
  <colors>
    <mruColors>
      <color rgb="FF2DC185"/>
      <color rgb="FF92B0D2"/>
      <color rgb="FF6BEFEC"/>
      <color rgb="FF17CFCB"/>
      <color rgb="FF16C8C4"/>
      <color rgb="FF15BBB7"/>
      <color rgb="FF15BDB9"/>
      <color rgb="FF00CC99"/>
      <color rgb="FF00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800100</xdr:colOff>
      <xdr:row>4</xdr:row>
      <xdr:rowOff>228600</xdr:rowOff>
    </xdr:from>
    <xdr:to>
      <xdr:col>1</xdr:col>
      <xdr:colOff>1209675</xdr:colOff>
      <xdr:row>4</xdr:row>
      <xdr:rowOff>228601</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flipV="1">
          <a:off x="800100" y="1009650"/>
          <a:ext cx="1771650" cy="1"/>
        </a:xfrm>
        <a:prstGeom prst="straightConnector1">
          <a:avLst/>
        </a:prstGeom>
        <a:ln w="57150" cap="sq">
          <a:solidFill>
            <a:sysClr val="windowText" lastClr="000000"/>
          </a:solidFill>
          <a:miter lim="8000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742950</xdr:colOff>
      <xdr:row>4</xdr:row>
      <xdr:rowOff>238125</xdr:rowOff>
    </xdr:from>
    <xdr:to>
      <xdr:col>5</xdr:col>
      <xdr:colOff>1419225</xdr:colOff>
      <xdr:row>4</xdr:row>
      <xdr:rowOff>239713</xdr:rowOff>
    </xdr:to>
    <xdr:cxnSp macro="">
      <xdr:nvCxnSpPr>
        <xdr:cNvPr id="4" name="Straight Arrow Connector 3">
          <a:extLst>
            <a:ext uri="{FF2B5EF4-FFF2-40B4-BE49-F238E27FC236}">
              <a16:creationId xmlns:a16="http://schemas.microsoft.com/office/drawing/2014/main" id="{00000000-0008-0000-0200-000004000000}"/>
            </a:ext>
          </a:extLst>
        </xdr:cNvPr>
        <xdr:cNvCxnSpPr/>
      </xdr:nvCxnSpPr>
      <xdr:spPr>
        <a:xfrm>
          <a:off x="3467100" y="1019175"/>
          <a:ext cx="4229100" cy="1588"/>
        </a:xfrm>
        <a:prstGeom prst="straightConnector1">
          <a:avLst/>
        </a:prstGeom>
        <a:ln w="57150" cap="sq">
          <a:solidFill>
            <a:sysClr val="windowText" lastClr="000000"/>
          </a:solidFill>
          <a:miter lim="8000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238125</xdr:colOff>
      <xdr:row>4</xdr:row>
      <xdr:rowOff>219075</xdr:rowOff>
    </xdr:from>
    <xdr:to>
      <xdr:col>18</xdr:col>
      <xdr:colOff>695325</xdr:colOff>
      <xdr:row>4</xdr:row>
      <xdr:rowOff>220663</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a:xfrm>
          <a:off x="16621125" y="1000125"/>
          <a:ext cx="2257425" cy="1588"/>
        </a:xfrm>
        <a:prstGeom prst="straightConnector1">
          <a:avLst/>
        </a:prstGeom>
        <a:ln w="57150" cap="sq">
          <a:solidFill>
            <a:sysClr val="windowText" lastClr="000000"/>
          </a:solidFill>
          <a:miter lim="8000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762000</xdr:colOff>
      <xdr:row>4</xdr:row>
      <xdr:rowOff>228600</xdr:rowOff>
    </xdr:from>
    <xdr:to>
      <xdr:col>13</xdr:col>
      <xdr:colOff>733425</xdr:colOff>
      <xdr:row>4</xdr:row>
      <xdr:rowOff>238125</xdr:rowOff>
    </xdr:to>
    <xdr:cxnSp macro="">
      <xdr:nvCxnSpPr>
        <xdr:cNvPr id="7" name="Straight Arrow Connector 6">
          <a:extLst>
            <a:ext uri="{FF2B5EF4-FFF2-40B4-BE49-F238E27FC236}">
              <a16:creationId xmlns:a16="http://schemas.microsoft.com/office/drawing/2014/main" id="{00000000-0008-0000-0200-000007000000}"/>
            </a:ext>
          </a:extLst>
        </xdr:cNvPr>
        <xdr:cNvCxnSpPr/>
      </xdr:nvCxnSpPr>
      <xdr:spPr>
        <a:xfrm>
          <a:off x="8905875" y="1009650"/>
          <a:ext cx="5238750" cy="9525"/>
        </a:xfrm>
        <a:prstGeom prst="straightConnector1">
          <a:avLst/>
        </a:prstGeom>
        <a:ln w="57150" cap="sq">
          <a:solidFill>
            <a:sysClr val="windowText" lastClr="000000"/>
          </a:solidFill>
          <a:miter lim="8000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0"/>
  <sheetViews>
    <sheetView zoomScale="75" zoomScaleNormal="75" workbookViewId="0">
      <selection activeCell="C49" sqref="C49"/>
    </sheetView>
  </sheetViews>
  <sheetFormatPr defaultColWidth="8.7109375" defaultRowHeight="12.75" x14ac:dyDescent="0.2"/>
  <cols>
    <col min="1" max="1" width="110.42578125" customWidth="1"/>
  </cols>
  <sheetData>
    <row r="1" spans="1:2" ht="30" customHeight="1" x14ac:dyDescent="0.3">
      <c r="A1" s="115" t="s">
        <v>59</v>
      </c>
    </row>
    <row r="2" spans="1:2" ht="14.25" customHeight="1" x14ac:dyDescent="0.2"/>
    <row r="3" spans="1:2" ht="22.5" customHeight="1" x14ac:dyDescent="0.3">
      <c r="A3" s="112" t="s">
        <v>93</v>
      </c>
      <c r="B3" s="94"/>
    </row>
    <row r="4" spans="1:2" ht="9.75" customHeight="1" x14ac:dyDescent="0.2"/>
    <row r="5" spans="1:2" ht="34.5" customHeight="1" x14ac:dyDescent="0.25">
      <c r="A5" s="110" t="s">
        <v>78</v>
      </c>
      <c r="B5" s="94"/>
    </row>
    <row r="6" spans="1:2" ht="14.25" customHeight="1" x14ac:dyDescent="0.25">
      <c r="A6" s="110"/>
      <c r="B6" s="94"/>
    </row>
    <row r="7" spans="1:2" ht="45" x14ac:dyDescent="0.25">
      <c r="A7" s="111" t="s">
        <v>77</v>
      </c>
    </row>
    <row r="8" spans="1:2" ht="13.5" customHeight="1" x14ac:dyDescent="0.25">
      <c r="A8" s="95"/>
    </row>
    <row r="9" spans="1:2" ht="33.75" customHeight="1" x14ac:dyDescent="0.25">
      <c r="A9" s="111" t="s">
        <v>76</v>
      </c>
    </row>
    <row r="10" spans="1:2" ht="15" x14ac:dyDescent="0.25">
      <c r="A10" s="95" t="s">
        <v>82</v>
      </c>
    </row>
    <row r="11" spans="1:2" ht="15" x14ac:dyDescent="0.25">
      <c r="A11" s="95"/>
    </row>
    <row r="12" spans="1:2" ht="30" x14ac:dyDescent="0.25">
      <c r="A12" s="111" t="s">
        <v>90</v>
      </c>
    </row>
    <row r="13" spans="1:2" ht="15" x14ac:dyDescent="0.25">
      <c r="A13" s="95"/>
    </row>
    <row r="14" spans="1:2" ht="18.75" x14ac:dyDescent="0.3">
      <c r="A14" s="112" t="s">
        <v>94</v>
      </c>
      <c r="B14" s="94"/>
    </row>
    <row r="15" spans="1:2" ht="8.25" customHeight="1" x14ac:dyDescent="0.2"/>
    <row r="16" spans="1:2" ht="45" x14ac:dyDescent="0.25">
      <c r="A16" s="111" t="s">
        <v>60</v>
      </c>
    </row>
    <row r="17" spans="1:2" ht="15" x14ac:dyDescent="0.25">
      <c r="A17" s="96" t="s">
        <v>61</v>
      </c>
    </row>
    <row r="18" spans="1:2" ht="30" x14ac:dyDescent="0.25">
      <c r="A18" s="113" t="s">
        <v>62</v>
      </c>
    </row>
    <row r="19" spans="1:2" ht="15" x14ac:dyDescent="0.25">
      <c r="A19" s="96" t="s">
        <v>63</v>
      </c>
    </row>
    <row r="20" spans="1:2" ht="15" x14ac:dyDescent="0.25">
      <c r="A20" s="96"/>
    </row>
    <row r="21" spans="1:2" ht="18.75" x14ac:dyDescent="0.3">
      <c r="A21" s="112" t="s">
        <v>95</v>
      </c>
      <c r="B21" s="94"/>
    </row>
    <row r="22" spans="1:2" ht="8.25" customHeight="1" x14ac:dyDescent="0.25">
      <c r="B22" s="94"/>
    </row>
    <row r="23" spans="1:2" ht="15.75" x14ac:dyDescent="0.25">
      <c r="A23" s="114" t="s">
        <v>64</v>
      </c>
    </row>
    <row r="24" spans="1:2" ht="15" x14ac:dyDescent="0.25">
      <c r="A24" s="95" t="s">
        <v>65</v>
      </c>
    </row>
    <row r="25" spans="1:2" ht="15" x14ac:dyDescent="0.25">
      <c r="A25" s="95"/>
    </row>
    <row r="26" spans="1:2" ht="15.75" x14ac:dyDescent="0.25">
      <c r="A26" s="114" t="s">
        <v>66</v>
      </c>
    </row>
    <row r="27" spans="1:2" ht="15" x14ac:dyDescent="0.25">
      <c r="A27" s="95" t="s">
        <v>67</v>
      </c>
    </row>
    <row r="28" spans="1:2" ht="15" x14ac:dyDescent="0.25">
      <c r="A28" s="95"/>
    </row>
    <row r="29" spans="1:2" ht="15.75" x14ac:dyDescent="0.25">
      <c r="A29" s="114" t="s">
        <v>68</v>
      </c>
    </row>
    <row r="30" spans="1:2" ht="45" x14ac:dyDescent="0.25">
      <c r="A30" s="111" t="s">
        <v>69</v>
      </c>
    </row>
    <row r="31" spans="1:2" ht="15" x14ac:dyDescent="0.25">
      <c r="A31" s="95"/>
    </row>
    <row r="32" spans="1:2" ht="15.75" x14ac:dyDescent="0.25">
      <c r="A32" s="114" t="s">
        <v>86</v>
      </c>
    </row>
    <row r="33" spans="1:1" ht="30" x14ac:dyDescent="0.25">
      <c r="A33" s="111" t="s">
        <v>87</v>
      </c>
    </row>
    <row r="34" spans="1:1" ht="15" x14ac:dyDescent="0.25">
      <c r="A34" s="95" t="s">
        <v>88</v>
      </c>
    </row>
    <row r="35" spans="1:1" ht="30" x14ac:dyDescent="0.25">
      <c r="A35" s="111" t="s">
        <v>89</v>
      </c>
    </row>
    <row r="36" spans="1:1" ht="15" x14ac:dyDescent="0.25">
      <c r="A36" s="95"/>
    </row>
    <row r="37" spans="1:1" ht="15.75" x14ac:dyDescent="0.25">
      <c r="A37" s="114" t="s">
        <v>70</v>
      </c>
    </row>
    <row r="38" spans="1:1" ht="15" x14ac:dyDescent="0.25">
      <c r="A38" s="95" t="s">
        <v>71</v>
      </c>
    </row>
    <row r="39" spans="1:1" ht="15" x14ac:dyDescent="0.25">
      <c r="A39" s="95"/>
    </row>
    <row r="40" spans="1:1" ht="15.75" x14ac:dyDescent="0.25">
      <c r="A40" s="114" t="s">
        <v>72</v>
      </c>
    </row>
    <row r="41" spans="1:1" ht="15" x14ac:dyDescent="0.25">
      <c r="A41" s="95" t="s">
        <v>73</v>
      </c>
    </row>
    <row r="42" spans="1:1" ht="15" x14ac:dyDescent="0.25">
      <c r="A42" s="95"/>
    </row>
    <row r="43" spans="1:1" ht="15.75" x14ac:dyDescent="0.25">
      <c r="A43" s="114" t="s">
        <v>74</v>
      </c>
    </row>
    <row r="44" spans="1:1" ht="15" x14ac:dyDescent="0.25">
      <c r="A44" s="95" t="s">
        <v>75</v>
      </c>
    </row>
    <row r="45" spans="1:1" ht="15" x14ac:dyDescent="0.25">
      <c r="A45" s="95"/>
    </row>
    <row r="46" spans="1:1" ht="15.75" x14ac:dyDescent="0.25">
      <c r="A46" s="114" t="s">
        <v>79</v>
      </c>
    </row>
    <row r="47" spans="1:1" ht="30" x14ac:dyDescent="0.25">
      <c r="A47" s="111" t="s">
        <v>80</v>
      </c>
    </row>
    <row r="48" spans="1:1" ht="15" x14ac:dyDescent="0.25">
      <c r="A48" s="95" t="s">
        <v>96</v>
      </c>
    </row>
    <row r="49" spans="1:1" ht="30" x14ac:dyDescent="0.25">
      <c r="A49" s="111" t="s">
        <v>81</v>
      </c>
    </row>
    <row r="50" spans="1:1" ht="15" x14ac:dyDescent="0.25">
      <c r="A50" s="9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0"/>
  <sheetViews>
    <sheetView topLeftCell="A4" workbookViewId="0">
      <selection activeCell="D15" sqref="D15"/>
    </sheetView>
  </sheetViews>
  <sheetFormatPr defaultColWidth="9.140625" defaultRowHeight="15" x14ac:dyDescent="0.2"/>
  <cols>
    <col min="1" max="1" width="17.42578125" style="16" customWidth="1"/>
    <col min="2" max="2" width="12.140625" style="16" customWidth="1"/>
    <col min="3" max="7" width="9.140625" style="16"/>
    <col min="8" max="8" width="10.140625" style="16" customWidth="1"/>
    <col min="9" max="14" width="9.140625" style="16"/>
    <col min="15" max="15" width="4" style="16" customWidth="1"/>
    <col min="16" max="16" width="9.140625" style="16" hidden="1" customWidth="1"/>
    <col min="17" max="19" width="9.140625" style="16"/>
    <col min="20" max="20" width="9.140625" style="36"/>
    <col min="21" max="16384" width="9.140625" style="16"/>
  </cols>
  <sheetData>
    <row r="1" spans="1:20" s="15" customFormat="1" ht="20.25" customHeight="1" x14ac:dyDescent="0.25">
      <c r="A1" s="230" t="s">
        <v>31</v>
      </c>
      <c r="B1" s="230"/>
      <c r="C1" s="230"/>
      <c r="D1" s="230"/>
      <c r="E1" s="230"/>
      <c r="F1" s="230"/>
      <c r="G1" s="230"/>
      <c r="H1" s="230"/>
      <c r="I1" s="230"/>
      <c r="J1" s="230"/>
      <c r="K1" s="230"/>
      <c r="L1" s="230"/>
      <c r="M1" s="230"/>
      <c r="N1" s="230"/>
      <c r="O1" s="230"/>
      <c r="P1" s="230"/>
      <c r="Q1" s="230"/>
      <c r="R1" s="230"/>
      <c r="S1" s="230"/>
      <c r="T1" s="29"/>
    </row>
    <row r="2" spans="1:20" s="13" customFormat="1" ht="12.75" customHeight="1" x14ac:dyDescent="0.25">
      <c r="A2" s="12"/>
      <c r="B2" s="12"/>
      <c r="C2" s="12"/>
      <c r="D2" s="12"/>
      <c r="E2" s="12"/>
      <c r="F2" s="12"/>
      <c r="G2" s="12"/>
      <c r="H2" s="12"/>
      <c r="L2" s="14"/>
      <c r="T2" s="30"/>
    </row>
    <row r="3" spans="1:20" s="6" customFormat="1" ht="28.5" customHeight="1" x14ac:dyDescent="0.2">
      <c r="A3" s="223" t="s">
        <v>29</v>
      </c>
      <c r="B3" s="223"/>
      <c r="C3" s="25" t="s">
        <v>30</v>
      </c>
      <c r="D3" s="10"/>
      <c r="E3" s="5"/>
      <c r="F3" s="5"/>
      <c r="G3" s="5"/>
      <c r="H3" s="5"/>
      <c r="I3" s="5"/>
      <c r="J3" s="5"/>
      <c r="K3" s="5"/>
      <c r="L3" s="10"/>
      <c r="M3" s="5"/>
      <c r="N3" s="5"/>
      <c r="O3" s="5"/>
      <c r="P3" s="5"/>
      <c r="Q3" s="5"/>
      <c r="R3" s="5"/>
      <c r="S3" s="5"/>
      <c r="T3" s="31"/>
    </row>
    <row r="4" spans="1:20" s="19" customFormat="1" ht="12.75" customHeight="1" x14ac:dyDescent="0.25">
      <c r="A4" s="17"/>
      <c r="B4" s="17"/>
      <c r="C4" s="17"/>
      <c r="D4" s="18"/>
      <c r="E4" s="18"/>
      <c r="F4" s="18"/>
      <c r="G4" s="18"/>
      <c r="H4" s="18"/>
      <c r="L4" s="20"/>
      <c r="N4" s="21"/>
      <c r="O4" s="21"/>
      <c r="P4" s="21"/>
      <c r="T4" s="32"/>
    </row>
    <row r="5" spans="1:20" s="27" customFormat="1" ht="20.25" customHeight="1" x14ac:dyDescent="0.2">
      <c r="A5" s="26" t="s">
        <v>15</v>
      </c>
      <c r="B5" s="224"/>
      <c r="C5" s="225"/>
      <c r="D5" s="225"/>
      <c r="E5" s="225"/>
      <c r="F5" s="225"/>
      <c r="G5" s="225"/>
      <c r="H5" s="225"/>
      <c r="I5" s="225"/>
      <c r="J5" s="225"/>
      <c r="K5" s="225"/>
      <c r="L5" s="225"/>
      <c r="M5" s="226"/>
      <c r="N5" s="214" t="s">
        <v>21</v>
      </c>
      <c r="O5" s="214"/>
      <c r="P5" s="214"/>
      <c r="Q5" s="203"/>
      <c r="R5" s="204"/>
      <c r="S5" s="204"/>
      <c r="T5" s="33"/>
    </row>
    <row r="6" spans="1:20" s="27" customFormat="1" ht="20.25" customHeight="1" x14ac:dyDescent="0.2">
      <c r="A6" s="26" t="s">
        <v>16</v>
      </c>
      <c r="B6" s="227"/>
      <c r="C6" s="228"/>
      <c r="D6" s="228"/>
      <c r="E6" s="228"/>
      <c r="F6" s="228"/>
      <c r="G6" s="228"/>
      <c r="H6" s="228"/>
      <c r="I6" s="228"/>
      <c r="J6" s="228"/>
      <c r="K6" s="228"/>
      <c r="L6" s="228"/>
      <c r="M6" s="229"/>
      <c r="N6" s="214" t="s">
        <v>20</v>
      </c>
      <c r="O6" s="214"/>
      <c r="P6" s="214"/>
      <c r="Q6" s="203"/>
      <c r="R6" s="204"/>
      <c r="S6" s="204"/>
      <c r="T6" s="33"/>
    </row>
    <row r="7" spans="1:20" s="28" customFormat="1" ht="4.5" customHeight="1" x14ac:dyDescent="0.2">
      <c r="A7" s="234"/>
      <c r="B7" s="235"/>
      <c r="C7" s="235"/>
      <c r="D7" s="231"/>
      <c r="E7" s="231"/>
      <c r="F7" s="232"/>
      <c r="G7" s="232"/>
      <c r="H7" s="232"/>
      <c r="I7" s="231"/>
      <c r="J7" s="231"/>
      <c r="K7" s="231"/>
      <c r="L7" s="231"/>
      <c r="M7" s="231"/>
      <c r="N7" s="233"/>
      <c r="O7" s="233"/>
      <c r="P7" s="233"/>
      <c r="Q7" s="231"/>
      <c r="R7" s="231"/>
      <c r="S7" s="231"/>
      <c r="T7" s="34"/>
    </row>
    <row r="8" spans="1:20" s="27" customFormat="1" ht="42.75" customHeight="1" x14ac:dyDescent="0.2">
      <c r="A8" s="205" t="s">
        <v>17</v>
      </c>
      <c r="B8" s="215" t="s">
        <v>18</v>
      </c>
      <c r="C8" s="215"/>
      <c r="D8" s="220"/>
      <c r="E8" s="221"/>
      <c r="F8" s="215" t="s">
        <v>35</v>
      </c>
      <c r="G8" s="215"/>
      <c r="H8" s="215"/>
      <c r="I8" s="203"/>
      <c r="J8" s="204"/>
      <c r="K8" s="204"/>
      <c r="L8" s="204"/>
      <c r="M8" s="222"/>
      <c r="N8" s="214" t="s">
        <v>32</v>
      </c>
      <c r="O8" s="214"/>
      <c r="P8" s="214"/>
      <c r="Q8" s="203"/>
      <c r="R8" s="204"/>
      <c r="S8" s="204"/>
      <c r="T8" s="33"/>
    </row>
    <row r="9" spans="1:20" s="27" customFormat="1" ht="42" customHeight="1" x14ac:dyDescent="0.2">
      <c r="A9" s="206"/>
      <c r="B9" s="216" t="s">
        <v>19</v>
      </c>
      <c r="C9" s="217"/>
      <c r="D9" s="218"/>
      <c r="E9" s="219"/>
      <c r="F9" s="207" t="s">
        <v>34</v>
      </c>
      <c r="G9" s="207"/>
      <c r="H9" s="207"/>
      <c r="I9" s="208"/>
      <c r="J9" s="209"/>
      <c r="K9" s="209"/>
      <c r="L9" s="209"/>
      <c r="M9" s="210"/>
      <c r="N9" s="211" t="s">
        <v>33</v>
      </c>
      <c r="O9" s="212"/>
      <c r="P9" s="213"/>
      <c r="Q9" s="208"/>
      <c r="R9" s="209"/>
      <c r="S9" s="209"/>
      <c r="T9" s="33"/>
    </row>
    <row r="10" spans="1:20" s="24" customFormat="1" ht="20.25" customHeight="1" x14ac:dyDescent="0.25">
      <c r="A10" s="22"/>
      <c r="B10" s="23"/>
      <c r="C10" s="23"/>
      <c r="D10" s="22"/>
      <c r="E10" s="199"/>
      <c r="F10" s="200"/>
      <c r="G10" s="200"/>
      <c r="H10" s="200"/>
      <c r="I10" s="199"/>
      <c r="J10" s="199"/>
      <c r="K10" s="199"/>
      <c r="L10" s="199"/>
      <c r="M10" s="199"/>
      <c r="N10" s="200"/>
      <c r="O10" s="23"/>
      <c r="P10" s="201"/>
      <c r="Q10" s="202"/>
      <c r="R10" s="22"/>
      <c r="S10" s="22"/>
      <c r="T10" s="35"/>
    </row>
  </sheetData>
  <mergeCells count="25">
    <mergeCell ref="A3:B3"/>
    <mergeCell ref="B5:M5"/>
    <mergeCell ref="B6:M6"/>
    <mergeCell ref="A1:S1"/>
    <mergeCell ref="D7:S7"/>
    <mergeCell ref="A7:C7"/>
    <mergeCell ref="N6:P6"/>
    <mergeCell ref="Q6:S6"/>
    <mergeCell ref="N5:P5"/>
    <mergeCell ref="E10:N10"/>
    <mergeCell ref="P10:Q10"/>
    <mergeCell ref="Q5:S5"/>
    <mergeCell ref="A8:A9"/>
    <mergeCell ref="F9:H9"/>
    <mergeCell ref="I9:M9"/>
    <mergeCell ref="N9:P9"/>
    <mergeCell ref="Q9:S9"/>
    <mergeCell ref="N8:P8"/>
    <mergeCell ref="Q8:S8"/>
    <mergeCell ref="B8:C8"/>
    <mergeCell ref="B9:C9"/>
    <mergeCell ref="D9:E9"/>
    <mergeCell ref="D8:E8"/>
    <mergeCell ref="F8:H8"/>
    <mergeCell ref="I8:M8"/>
  </mergeCells>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FCBB5-D28F-4383-8369-5C788E0ED5BA}">
  <dimension ref="A1:G24"/>
  <sheetViews>
    <sheetView zoomScale="175" zoomScaleNormal="175" workbookViewId="0">
      <pane xSplit="2" ySplit="1" topLeftCell="E2" activePane="bottomRight" state="frozen"/>
      <selection pane="topRight" activeCell="C1" sqref="C1"/>
      <selection pane="bottomLeft" activeCell="A2" sqref="A2"/>
      <selection pane="bottomRight" activeCell="E22" sqref="E22"/>
    </sheetView>
  </sheetViews>
  <sheetFormatPr defaultColWidth="8.7109375" defaultRowHeight="12.75" x14ac:dyDescent="0.2"/>
  <cols>
    <col min="1" max="1" width="1.7109375" bestFit="1" customWidth="1"/>
    <col min="2" max="2" width="17.28515625" bestFit="1" customWidth="1"/>
    <col min="3" max="3" width="29.28515625" customWidth="1"/>
    <col min="4" max="4" width="21.28515625" bestFit="1" customWidth="1"/>
    <col min="5" max="5" width="30.7109375" bestFit="1" customWidth="1"/>
    <col min="6" max="6" width="34.140625" bestFit="1" customWidth="1"/>
  </cols>
  <sheetData>
    <row r="1" spans="1:7" x14ac:dyDescent="0.2">
      <c r="A1" s="134"/>
      <c r="B1" s="132" t="s">
        <v>98</v>
      </c>
      <c r="C1" s="132" t="s">
        <v>100</v>
      </c>
      <c r="D1" s="132" t="s">
        <v>99</v>
      </c>
      <c r="E1" s="132" t="s">
        <v>101</v>
      </c>
      <c r="F1" s="132" t="s">
        <v>102</v>
      </c>
    </row>
    <row r="2" spans="1:7" x14ac:dyDescent="0.2">
      <c r="A2">
        <v>1</v>
      </c>
      <c r="B2" s="131" t="s">
        <v>115</v>
      </c>
      <c r="C2" s="131" t="s">
        <v>104</v>
      </c>
      <c r="D2" s="131" t="s">
        <v>123</v>
      </c>
      <c r="E2" s="131" t="s">
        <v>107</v>
      </c>
      <c r="F2" s="131" t="s">
        <v>119</v>
      </c>
    </row>
    <row r="3" spans="1:7" x14ac:dyDescent="0.2">
      <c r="B3" s="131" t="s">
        <v>114</v>
      </c>
      <c r="C3" s="131" t="s">
        <v>103</v>
      </c>
      <c r="D3" s="131" t="s">
        <v>106</v>
      </c>
      <c r="E3" s="131" t="s">
        <v>108</v>
      </c>
      <c r="F3" s="131" t="s">
        <v>109</v>
      </c>
      <c r="G3" s="131"/>
    </row>
    <row r="4" spans="1:7" ht="25.5" x14ac:dyDescent="0.2">
      <c r="B4" s="131" t="s">
        <v>131</v>
      </c>
      <c r="C4" s="133" t="s">
        <v>121</v>
      </c>
      <c r="D4" s="131" t="s">
        <v>105</v>
      </c>
      <c r="E4" s="131" t="s">
        <v>120</v>
      </c>
      <c r="F4" s="131" t="s">
        <v>110</v>
      </c>
    </row>
    <row r="5" spans="1:7" x14ac:dyDescent="0.2">
      <c r="C5" s="131"/>
      <c r="F5" s="131" t="s">
        <v>111</v>
      </c>
    </row>
    <row r="6" spans="1:7" x14ac:dyDescent="0.2">
      <c r="F6" s="131" t="s">
        <v>112</v>
      </c>
    </row>
    <row r="7" spans="1:7" x14ac:dyDescent="0.2">
      <c r="F7" s="131" t="s">
        <v>113</v>
      </c>
    </row>
    <row r="8" spans="1:7" x14ac:dyDescent="0.2">
      <c r="F8" s="131" t="s">
        <v>118</v>
      </c>
    </row>
    <row r="9" spans="1:7" x14ac:dyDescent="0.2">
      <c r="B9" s="131"/>
      <c r="C9" s="131"/>
      <c r="D9" s="131"/>
      <c r="F9" s="131" t="s">
        <v>117</v>
      </c>
    </row>
    <row r="10" spans="1:7" x14ac:dyDescent="0.2">
      <c r="C10" s="131"/>
      <c r="F10" s="131"/>
    </row>
    <row r="11" spans="1:7" x14ac:dyDescent="0.2">
      <c r="A11">
        <v>2</v>
      </c>
      <c r="B11" s="131" t="s">
        <v>116</v>
      </c>
      <c r="C11" s="131" t="s">
        <v>122</v>
      </c>
      <c r="D11" s="131" t="s">
        <v>124</v>
      </c>
      <c r="E11" s="131" t="s">
        <v>125</v>
      </c>
      <c r="F11" s="131" t="s">
        <v>126</v>
      </c>
    </row>
    <row r="12" spans="1:7" x14ac:dyDescent="0.2">
      <c r="B12" s="131" t="s">
        <v>132</v>
      </c>
      <c r="C12" s="131"/>
      <c r="D12" s="131"/>
      <c r="E12" s="131"/>
      <c r="F12" s="131"/>
    </row>
    <row r="14" spans="1:7" x14ac:dyDescent="0.2">
      <c r="A14">
        <v>3</v>
      </c>
      <c r="B14" s="131" t="s">
        <v>133</v>
      </c>
      <c r="F14" s="131" t="s">
        <v>134</v>
      </c>
    </row>
    <row r="16" spans="1:7" x14ac:dyDescent="0.2">
      <c r="A16">
        <v>4</v>
      </c>
      <c r="B16" s="131" t="s">
        <v>127</v>
      </c>
      <c r="C16" s="135" t="s">
        <v>128</v>
      </c>
      <c r="D16" s="135" t="s">
        <v>128</v>
      </c>
      <c r="F16" s="131" t="s">
        <v>129</v>
      </c>
    </row>
    <row r="17" spans="1:6" x14ac:dyDescent="0.2">
      <c r="F17" s="131" t="s">
        <v>130</v>
      </c>
    </row>
    <row r="19" spans="1:6" x14ac:dyDescent="0.2">
      <c r="A19">
        <v>5</v>
      </c>
      <c r="B19" s="131" t="s">
        <v>135</v>
      </c>
    </row>
    <row r="23" spans="1:6" x14ac:dyDescent="0.2">
      <c r="A23">
        <v>6</v>
      </c>
      <c r="B23" s="131" t="s">
        <v>97</v>
      </c>
      <c r="D23" s="131" t="s">
        <v>136</v>
      </c>
      <c r="F23" s="131" t="s">
        <v>137</v>
      </c>
    </row>
    <row r="24" spans="1:6" x14ac:dyDescent="0.2">
      <c r="F24" s="13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W44"/>
  <sheetViews>
    <sheetView showGridLines="0" tabSelected="1" zoomScaleNormal="100" workbookViewId="0">
      <pane xSplit="1" ySplit="8" topLeftCell="N24" activePane="bottomRight" state="frozen"/>
      <selection pane="topRight" activeCell="B1" sqref="B1"/>
      <selection pane="bottomLeft" activeCell="A9" sqref="A9"/>
      <selection pane="bottomRight" activeCell="Z37" sqref="Z37"/>
    </sheetView>
  </sheetViews>
  <sheetFormatPr defaultColWidth="9.140625" defaultRowHeight="12.75" x14ac:dyDescent="0.2"/>
  <cols>
    <col min="1" max="1" width="33.42578125" style="3" customWidth="1"/>
    <col min="2" max="2" width="24.42578125" style="3" customWidth="1"/>
    <col min="3" max="3" width="20.42578125" style="3" customWidth="1"/>
    <col min="4" max="4" width="26.7109375" style="9" bestFit="1" customWidth="1"/>
    <col min="5" max="5" width="21.7109375" style="3" customWidth="1"/>
    <col min="6" max="7" width="24" style="3" customWidth="1"/>
    <col min="8" max="8" width="15.42578125" style="3" customWidth="1"/>
    <col min="9" max="9" width="9.7109375" style="3" customWidth="1"/>
    <col min="10" max="11" width="11.28515625" style="3" customWidth="1"/>
    <col min="12" max="12" width="14.42578125" style="3" customWidth="1"/>
    <col min="13" max="13" width="14.42578125" style="9" customWidth="1"/>
    <col min="14" max="14" width="13.28515625" style="131" customWidth="1"/>
    <col min="15" max="15" width="14.7109375" style="3" customWidth="1"/>
    <col min="16" max="16" width="16.42578125" style="3" customWidth="1"/>
    <col min="17" max="17" width="13.7109375" style="3" customWidth="1"/>
    <col min="18" max="18" width="12.28515625" style="3" customWidth="1"/>
    <col min="19" max="19" width="13.42578125" style="3" customWidth="1"/>
    <col min="20" max="20" width="11.7109375" style="41" customWidth="1"/>
    <col min="21" max="21" width="14.28515625" style="3" customWidth="1"/>
    <col min="22" max="22" width="20" style="3" customWidth="1"/>
    <col min="23" max="23" width="14.140625" style="3" bestFit="1" customWidth="1"/>
    <col min="24" max="24" width="16.28515625" style="3" bestFit="1" customWidth="1"/>
    <col min="25" max="25" width="15.42578125" style="3" customWidth="1"/>
    <col min="26" max="26" width="12.7109375" style="3" customWidth="1"/>
    <col min="27" max="27" width="15.7109375" style="3" customWidth="1"/>
    <col min="28" max="28" width="12.7109375" style="3" bestFit="1" customWidth="1"/>
    <col min="29" max="29" width="14.7109375" style="3" customWidth="1"/>
    <col min="30" max="30" width="13.28515625" style="3" customWidth="1"/>
    <col min="31" max="31" width="12.140625" style="3" customWidth="1"/>
    <col min="32" max="32" width="12" style="3" customWidth="1"/>
    <col min="33" max="33" width="12.5703125" style="9" customWidth="1"/>
    <col min="34" max="36" width="9.140625" style="13"/>
    <col min="37" max="16384" width="9.140625" style="3"/>
  </cols>
  <sheetData>
    <row r="1" spans="1:75" s="38" customFormat="1" ht="18" x14ac:dyDescent="0.25">
      <c r="A1" s="117" t="s">
        <v>31</v>
      </c>
      <c r="B1" s="117"/>
      <c r="C1" s="117"/>
      <c r="D1" s="117"/>
      <c r="E1" s="117"/>
      <c r="F1" s="117"/>
      <c r="G1" s="117"/>
      <c r="H1" s="117"/>
      <c r="M1" s="39"/>
      <c r="N1" s="125"/>
      <c r="T1" s="40"/>
      <c r="U1" s="46"/>
      <c r="V1" s="46"/>
      <c r="W1" s="46"/>
      <c r="X1" s="46"/>
      <c r="Y1" s="46"/>
      <c r="Z1" s="46"/>
      <c r="AA1" s="46"/>
      <c r="AG1" s="39"/>
      <c r="AH1" s="43"/>
      <c r="AI1" s="43"/>
      <c r="AJ1" s="43"/>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row>
    <row r="2" spans="1:75" s="13" customFormat="1" ht="7.5" customHeight="1" x14ac:dyDescent="0.25">
      <c r="A2" s="12"/>
      <c r="B2" s="12"/>
      <c r="C2" s="12"/>
      <c r="D2" s="12"/>
      <c r="E2" s="12"/>
      <c r="F2" s="12"/>
      <c r="G2" s="12"/>
      <c r="H2" s="12"/>
      <c r="M2" s="14"/>
      <c r="N2" s="126"/>
      <c r="T2" s="41"/>
      <c r="U2" s="3"/>
      <c r="V2" s="3"/>
      <c r="W2" s="3"/>
      <c r="X2" s="3"/>
      <c r="Y2" s="3"/>
      <c r="Z2" s="3"/>
      <c r="AA2" s="3"/>
      <c r="AG2" s="14"/>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1:75" s="6" customFormat="1" ht="28.5" customHeight="1" x14ac:dyDescent="0.2">
      <c r="A3" s="7" t="s">
        <v>29</v>
      </c>
      <c r="B3" s="8" t="s">
        <v>30</v>
      </c>
      <c r="C3" s="5"/>
      <c r="D3" s="10"/>
      <c r="E3" s="5"/>
      <c r="F3" s="5"/>
      <c r="G3" s="5"/>
      <c r="H3" s="5"/>
      <c r="I3" s="5"/>
      <c r="J3" s="5"/>
      <c r="K3" s="5"/>
      <c r="L3" s="5"/>
      <c r="M3" s="10"/>
      <c r="N3" s="127"/>
      <c r="O3" s="5"/>
      <c r="P3" s="5"/>
      <c r="Q3" s="5"/>
      <c r="R3" s="5"/>
      <c r="S3" s="5"/>
      <c r="T3" s="42"/>
      <c r="U3" s="98"/>
      <c r="V3" s="98"/>
      <c r="W3" s="98"/>
      <c r="X3" s="98"/>
      <c r="Y3" s="98"/>
      <c r="Z3" s="98"/>
      <c r="AA3" s="98"/>
      <c r="AB3" s="5"/>
      <c r="AC3" s="5"/>
      <c r="AD3" s="5"/>
      <c r="AE3" s="5"/>
      <c r="AF3" s="5"/>
      <c r="AG3" s="11"/>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row>
    <row r="4" spans="1:75" s="6" customFormat="1" ht="7.5" customHeight="1" x14ac:dyDescent="0.2">
      <c r="A4" s="37"/>
      <c r="B4" s="8"/>
      <c r="C4" s="5"/>
      <c r="D4" s="10"/>
      <c r="E4" s="5"/>
      <c r="F4" s="5"/>
      <c r="G4" s="5"/>
      <c r="H4" s="5"/>
      <c r="I4" s="5"/>
      <c r="J4" s="5"/>
      <c r="K4" s="5"/>
      <c r="L4" s="5"/>
      <c r="M4" s="10"/>
      <c r="N4" s="127"/>
      <c r="O4" s="5"/>
      <c r="P4" s="5"/>
      <c r="Q4" s="5"/>
      <c r="R4" s="5"/>
      <c r="S4" s="5"/>
      <c r="T4" s="42"/>
      <c r="U4" s="98"/>
      <c r="V4" s="98"/>
      <c r="W4" s="98"/>
      <c r="X4" s="98"/>
      <c r="Y4" s="98"/>
      <c r="Z4" s="98"/>
      <c r="AA4" s="98"/>
      <c r="AB4" s="5"/>
      <c r="AC4" s="5"/>
      <c r="AD4" s="5"/>
      <c r="AE4" s="5"/>
      <c r="AF4" s="5"/>
      <c r="AG4" s="11"/>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row>
    <row r="5" spans="1:75" s="59" customFormat="1" ht="34.5" customHeight="1" thickBot="1" x14ac:dyDescent="0.25">
      <c r="A5" s="48" t="s">
        <v>36</v>
      </c>
      <c r="B5" s="49"/>
      <c r="C5" s="50" t="s">
        <v>37</v>
      </c>
      <c r="D5" s="51"/>
      <c r="E5" s="52"/>
      <c r="F5" s="52"/>
      <c r="G5" s="53" t="s">
        <v>38</v>
      </c>
      <c r="H5" s="53"/>
      <c r="I5" s="53"/>
      <c r="J5" s="53"/>
      <c r="K5" s="53"/>
      <c r="L5" s="53"/>
      <c r="M5" s="54"/>
      <c r="N5" s="128"/>
      <c r="O5" s="240" t="s">
        <v>39</v>
      </c>
      <c r="P5" s="240"/>
      <c r="Q5" s="55"/>
      <c r="R5" s="55"/>
      <c r="S5" s="55"/>
      <c r="T5" s="56"/>
      <c r="U5" s="99"/>
      <c r="V5" s="99"/>
      <c r="W5" s="182">
        <f>(8.31
+5.28
+4
+3.1)/4</f>
        <v>5.1725000000000003</v>
      </c>
      <c r="X5" s="99"/>
      <c r="Y5" s="99"/>
      <c r="Z5" s="99"/>
      <c r="AA5" s="99"/>
      <c r="AB5" s="103"/>
      <c r="AC5" s="57"/>
      <c r="AD5" s="57"/>
      <c r="AE5" s="57"/>
      <c r="AF5" s="57"/>
      <c r="AG5" s="58"/>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row>
    <row r="6" spans="1:75" s="65" customFormat="1" ht="26.65" customHeight="1" thickBot="1" x14ac:dyDescent="0.3">
      <c r="A6" s="183" t="s">
        <v>144</v>
      </c>
      <c r="B6" s="61" t="s">
        <v>145</v>
      </c>
      <c r="C6" s="184" t="s">
        <v>146</v>
      </c>
      <c r="D6" s="185" t="s">
        <v>147</v>
      </c>
      <c r="E6" s="186" t="s">
        <v>148</v>
      </c>
      <c r="F6" s="116" t="s">
        <v>149</v>
      </c>
      <c r="G6" s="116" t="s">
        <v>150</v>
      </c>
      <c r="H6" s="116" t="s">
        <v>151</v>
      </c>
      <c r="I6" s="187" t="s">
        <v>152</v>
      </c>
      <c r="J6" s="187" t="s">
        <v>153</v>
      </c>
      <c r="K6" s="187" t="s">
        <v>154</v>
      </c>
      <c r="L6" s="187" t="s">
        <v>155</v>
      </c>
      <c r="M6" s="187" t="s">
        <v>156</v>
      </c>
      <c r="N6" s="188" t="s">
        <v>151</v>
      </c>
      <c r="O6" s="81" t="s">
        <v>24</v>
      </c>
      <c r="P6" s="81" t="s">
        <v>23</v>
      </c>
      <c r="Q6" s="81" t="s">
        <v>22</v>
      </c>
      <c r="R6" s="61" t="s">
        <v>25</v>
      </c>
      <c r="S6" s="61" t="s">
        <v>0</v>
      </c>
      <c r="T6" s="62"/>
      <c r="U6" s="243" t="s">
        <v>6</v>
      </c>
      <c r="V6" s="244"/>
      <c r="W6" s="244"/>
      <c r="X6" s="244"/>
      <c r="Y6" s="244"/>
      <c r="Z6" s="245"/>
      <c r="AA6" s="100"/>
      <c r="AB6" s="243" t="s">
        <v>6</v>
      </c>
      <c r="AC6" s="244"/>
      <c r="AD6" s="244"/>
      <c r="AE6" s="244"/>
      <c r="AF6" s="244"/>
      <c r="AG6" s="245"/>
      <c r="AH6" s="63"/>
      <c r="AI6" s="63"/>
      <c r="AJ6" s="63"/>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row>
    <row r="7" spans="1:75" s="71" customFormat="1" ht="28.5" customHeight="1" thickBot="1" x14ac:dyDescent="0.25">
      <c r="A7" s="118" t="s">
        <v>54</v>
      </c>
      <c r="B7" s="118" t="s">
        <v>42</v>
      </c>
      <c r="C7" s="118" t="s">
        <v>43</v>
      </c>
      <c r="D7" s="120" t="s">
        <v>57</v>
      </c>
      <c r="E7" s="122" t="s">
        <v>44</v>
      </c>
      <c r="F7" s="104" t="s">
        <v>1</v>
      </c>
      <c r="G7" s="104" t="s">
        <v>2</v>
      </c>
      <c r="H7" s="104" t="s">
        <v>3</v>
      </c>
      <c r="I7" s="104" t="s">
        <v>5</v>
      </c>
      <c r="J7" s="104" t="s">
        <v>4</v>
      </c>
      <c r="K7" s="104" t="s">
        <v>91</v>
      </c>
      <c r="L7" s="104" t="s">
        <v>40</v>
      </c>
      <c r="M7" s="105" t="s">
        <v>58</v>
      </c>
      <c r="N7" s="129" t="s">
        <v>3</v>
      </c>
      <c r="O7" s="238" t="s">
        <v>49</v>
      </c>
      <c r="P7" s="236" t="s">
        <v>27</v>
      </c>
      <c r="Q7" s="236" t="s">
        <v>26</v>
      </c>
      <c r="R7" s="236" t="s">
        <v>28</v>
      </c>
      <c r="S7" s="236" t="s">
        <v>50</v>
      </c>
      <c r="T7" s="109"/>
      <c r="U7" s="246" t="s">
        <v>41</v>
      </c>
      <c r="V7" s="247"/>
      <c r="W7" s="143">
        <v>5.1700000000000003E-2</v>
      </c>
      <c r="X7" s="106"/>
      <c r="Y7" s="246"/>
      <c r="Z7" s="247"/>
      <c r="AA7" s="101"/>
      <c r="AB7" s="241" t="s">
        <v>41</v>
      </c>
      <c r="AC7" s="242"/>
      <c r="AD7" s="68"/>
      <c r="AE7" s="97"/>
      <c r="AF7" s="241"/>
      <c r="AG7" s="242"/>
      <c r="AH7" s="69"/>
      <c r="AI7" s="69"/>
      <c r="AJ7" s="69"/>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row>
    <row r="8" spans="1:75" s="71" customFormat="1" ht="28.5" customHeight="1" thickBot="1" x14ac:dyDescent="0.25">
      <c r="A8" s="119"/>
      <c r="B8" s="119"/>
      <c r="C8" s="119"/>
      <c r="D8" s="121"/>
      <c r="E8" s="123"/>
      <c r="F8" s="124" t="s">
        <v>55</v>
      </c>
      <c r="G8" s="104" t="s">
        <v>45</v>
      </c>
      <c r="H8" s="104" t="s">
        <v>46</v>
      </c>
      <c r="I8" s="104" t="s">
        <v>47</v>
      </c>
      <c r="J8" s="104" t="s">
        <v>85</v>
      </c>
      <c r="K8" s="104" t="s">
        <v>84</v>
      </c>
      <c r="L8" s="104" t="s">
        <v>48</v>
      </c>
      <c r="M8" s="105" t="s">
        <v>56</v>
      </c>
      <c r="N8" s="129" t="s">
        <v>46</v>
      </c>
      <c r="O8" s="239"/>
      <c r="P8" s="237"/>
      <c r="Q8" s="237"/>
      <c r="R8" s="237"/>
      <c r="S8" s="237"/>
      <c r="T8" s="109"/>
      <c r="U8" s="107" t="s">
        <v>83</v>
      </c>
      <c r="V8" s="107" t="s">
        <v>10</v>
      </c>
      <c r="W8" s="107" t="s">
        <v>11</v>
      </c>
      <c r="X8" s="107" t="s">
        <v>12</v>
      </c>
      <c r="Y8" s="107" t="s">
        <v>13</v>
      </c>
      <c r="Z8" s="108" t="s">
        <v>14</v>
      </c>
      <c r="AA8" s="101"/>
      <c r="AB8" s="72" t="s">
        <v>83</v>
      </c>
      <c r="AC8" s="72" t="s">
        <v>10</v>
      </c>
      <c r="AD8" s="72" t="s">
        <v>11</v>
      </c>
      <c r="AE8" s="72" t="s">
        <v>12</v>
      </c>
      <c r="AF8" s="72" t="s">
        <v>13</v>
      </c>
      <c r="AG8" s="73" t="s">
        <v>14</v>
      </c>
      <c r="AH8" s="69"/>
      <c r="AI8" s="69"/>
      <c r="AJ8" s="69"/>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row>
    <row r="9" spans="1:75" s="2" customFormat="1" ht="38.25" x14ac:dyDescent="0.3">
      <c r="A9" s="189" t="s">
        <v>157</v>
      </c>
      <c r="B9" s="144" t="s">
        <v>163</v>
      </c>
      <c r="C9" s="144" t="s">
        <v>172</v>
      </c>
      <c r="D9" s="145">
        <f>20*300*2</f>
        <v>12000</v>
      </c>
      <c r="E9" s="194" t="s">
        <v>165</v>
      </c>
      <c r="F9" s="195" t="s">
        <v>166</v>
      </c>
      <c r="G9" s="196" t="s">
        <v>167</v>
      </c>
      <c r="H9" s="148" t="s">
        <v>168</v>
      </c>
      <c r="I9" s="148">
        <v>20</v>
      </c>
      <c r="J9" s="148">
        <v>2</v>
      </c>
      <c r="K9" s="195" t="s">
        <v>169</v>
      </c>
      <c r="L9" s="196" t="s">
        <v>170</v>
      </c>
      <c r="M9" s="149">
        <f xml:space="preserve"> 5000*20</f>
        <v>100000</v>
      </c>
      <c r="N9" s="148" t="s">
        <v>139</v>
      </c>
      <c r="O9" s="140">
        <v>0</v>
      </c>
      <c r="P9" s="140">
        <v>0.05</v>
      </c>
      <c r="Q9" s="140">
        <v>0.05</v>
      </c>
      <c r="R9" s="140">
        <v>0.05</v>
      </c>
      <c r="S9" s="90">
        <f>I9*M9*(1-O9)*(1-P9)*(1-Q9)</f>
        <v>1805000</v>
      </c>
      <c r="T9" s="91"/>
      <c r="U9" s="90">
        <f t="shared" ref="U9" si="0">IF(K9=1,AB9,0)</f>
        <v>0</v>
      </c>
      <c r="V9" s="90">
        <f t="shared" ref="V9" si="1">IF(K9=1,AC9, AB9)</f>
        <v>1805000</v>
      </c>
      <c r="W9" s="90">
        <f t="shared" ref="W9" si="2">AD9</f>
        <v>1714750</v>
      </c>
      <c r="X9" s="90">
        <f t="shared" ref="X9" si="3">AE9</f>
        <v>0</v>
      </c>
      <c r="Y9" s="90">
        <f t="shared" ref="Y9" si="4">AF9</f>
        <v>0</v>
      </c>
      <c r="Z9" s="90">
        <f t="shared" ref="Z9" si="5">AG9</f>
        <v>0</v>
      </c>
      <c r="AA9" s="102"/>
      <c r="AB9" s="90">
        <f>IF(J9&gt;=0,S9,0)</f>
        <v>1805000</v>
      </c>
      <c r="AC9" s="90">
        <f t="shared" ref="AC9" si="6">IF(J9&gt;=1,S9,0)</f>
        <v>1805000</v>
      </c>
      <c r="AD9" s="90">
        <f t="shared" ref="AD9" si="7">IF(J9&gt;1,AC9,0)*(1-R9)</f>
        <v>1714750</v>
      </c>
      <c r="AE9" s="90">
        <f t="shared" ref="AE9" si="8">IF(J9&gt;2,AD9,0)*(1-R9)</f>
        <v>0</v>
      </c>
      <c r="AF9" s="90">
        <f>IF(J9&gt;3,AE9,0)*(1-R9)</f>
        <v>0</v>
      </c>
      <c r="AG9" s="90">
        <f>IF(J9&gt;4,AF9,0)*(1-R9)</f>
        <v>0</v>
      </c>
      <c r="AH9" s="44"/>
      <c r="AI9" s="45"/>
      <c r="AJ9" s="45"/>
    </row>
    <row r="10" spans="1:75" s="2" customFormat="1" ht="18.75" x14ac:dyDescent="0.3">
      <c r="A10" s="190" t="s">
        <v>159</v>
      </c>
      <c r="B10" s="144" t="s">
        <v>171</v>
      </c>
      <c r="C10" s="194" t="s">
        <v>173</v>
      </c>
      <c r="D10" s="144">
        <f xml:space="preserve"> 500*80</f>
        <v>40000</v>
      </c>
      <c r="E10" s="194" t="s">
        <v>174</v>
      </c>
      <c r="F10" s="189" t="s">
        <v>175</v>
      </c>
      <c r="G10" s="196" t="s">
        <v>176</v>
      </c>
      <c r="H10" s="148" t="s">
        <v>177</v>
      </c>
      <c r="I10" s="148">
        <v>500</v>
      </c>
      <c r="J10" s="148">
        <v>2</v>
      </c>
      <c r="K10" s="197" t="s">
        <v>171</v>
      </c>
      <c r="L10" s="196" t="s">
        <v>178</v>
      </c>
      <c r="M10" s="151">
        <v>800</v>
      </c>
      <c r="N10" s="148" t="s">
        <v>139</v>
      </c>
      <c r="O10" s="140">
        <v>0.3</v>
      </c>
      <c r="P10" s="140">
        <v>0.05</v>
      </c>
      <c r="Q10" s="140">
        <v>0.05</v>
      </c>
      <c r="R10" s="140">
        <v>0.1</v>
      </c>
      <c r="S10" s="90">
        <f t="shared" ref="S10:S14" si="9">I10*M10*(1-O10)*(1-P10)*(1-Q10)</f>
        <v>252700</v>
      </c>
      <c r="T10" s="91"/>
      <c r="U10" s="90">
        <f t="shared" ref="U10:U15" si="10">IF(K10=1,AB10,0)</f>
        <v>0</v>
      </c>
      <c r="V10" s="90">
        <f t="shared" ref="V10:V15" si="11">IF(K10=1,AC10, AB10)</f>
        <v>252700</v>
      </c>
      <c r="W10" s="90">
        <f t="shared" ref="W10:W15" si="12">AD10</f>
        <v>227430</v>
      </c>
      <c r="X10" s="90">
        <f t="shared" ref="X10:X15" si="13">AE10</f>
        <v>0</v>
      </c>
      <c r="Y10" s="90">
        <f t="shared" ref="Y10:Y15" si="14">AF10</f>
        <v>0</v>
      </c>
      <c r="Z10" s="90">
        <f t="shared" ref="Z10:Z15" si="15">AG10</f>
        <v>0</v>
      </c>
      <c r="AA10" s="102"/>
      <c r="AB10" s="90">
        <f t="shared" ref="AB10:AB14" si="16">IF(J10&gt;=0,S10,0)</f>
        <v>252700</v>
      </c>
      <c r="AC10" s="90">
        <f t="shared" ref="AC10:AC15" si="17">IF(J10&gt;=1,S10,0)</f>
        <v>252700</v>
      </c>
      <c r="AD10" s="90">
        <f t="shared" ref="AD10:AD15" si="18">IF(J10&gt;1,AC10,0)*(1-R10)</f>
        <v>227430</v>
      </c>
      <c r="AE10" s="90">
        <f t="shared" ref="AE10:AE15" si="19">IF(J10&gt;2,AD10,0)*(1-R10)</f>
        <v>0</v>
      </c>
      <c r="AF10" s="90">
        <f t="shared" ref="AF10:AF14" si="20">IF(J10&gt;3,AE10,0)*(1-R10)</f>
        <v>0</v>
      </c>
      <c r="AG10" s="90">
        <f t="shared" ref="AG10:AG14" si="21">IF(J10&gt;4,AF10,0)*(1-R10)</f>
        <v>0</v>
      </c>
      <c r="AH10" s="44"/>
      <c r="AI10" s="45"/>
      <c r="AJ10" s="45"/>
    </row>
    <row r="11" spans="1:75" s="2" customFormat="1" ht="25.5" x14ac:dyDescent="0.3">
      <c r="A11" s="192" t="s">
        <v>160</v>
      </c>
      <c r="B11" s="194" t="s">
        <v>179</v>
      </c>
      <c r="C11" s="193" t="s">
        <v>180</v>
      </c>
      <c r="D11" s="144">
        <f xml:space="preserve"> 150*12*20*12</f>
        <v>432000</v>
      </c>
      <c r="E11" s="147" t="s">
        <v>181</v>
      </c>
      <c r="F11" s="195" t="s">
        <v>182</v>
      </c>
      <c r="G11" s="148" t="s">
        <v>183</v>
      </c>
      <c r="H11" s="148" t="s">
        <v>177</v>
      </c>
      <c r="I11" s="148">
        <v>20</v>
      </c>
      <c r="J11" s="148">
        <v>5</v>
      </c>
      <c r="K11" s="148" t="s">
        <v>184</v>
      </c>
      <c r="L11" s="197" t="s">
        <v>185</v>
      </c>
      <c r="M11" s="149">
        <v>2000</v>
      </c>
      <c r="N11" s="148" t="s">
        <v>139</v>
      </c>
      <c r="O11" s="140">
        <v>0</v>
      </c>
      <c r="P11" s="140">
        <v>0.05</v>
      </c>
      <c r="Q11" s="140">
        <v>0.05</v>
      </c>
      <c r="R11" s="140">
        <v>0.2</v>
      </c>
      <c r="S11" s="90">
        <f t="shared" si="9"/>
        <v>36100</v>
      </c>
      <c r="T11" s="91"/>
      <c r="U11" s="90">
        <f t="shared" si="10"/>
        <v>0</v>
      </c>
      <c r="V11" s="90">
        <f t="shared" si="11"/>
        <v>36100</v>
      </c>
      <c r="W11" s="90">
        <f t="shared" si="12"/>
        <v>28880</v>
      </c>
      <c r="X11" s="90">
        <f t="shared" si="13"/>
        <v>23104</v>
      </c>
      <c r="Y11" s="90">
        <f t="shared" si="14"/>
        <v>18483.2</v>
      </c>
      <c r="Z11" s="90">
        <f t="shared" si="15"/>
        <v>14786.560000000001</v>
      </c>
      <c r="AA11" s="102"/>
      <c r="AB11" s="90">
        <f t="shared" si="16"/>
        <v>36100</v>
      </c>
      <c r="AC11" s="90">
        <f t="shared" si="17"/>
        <v>36100</v>
      </c>
      <c r="AD11" s="90">
        <f t="shared" si="18"/>
        <v>28880</v>
      </c>
      <c r="AE11" s="90">
        <f t="shared" si="19"/>
        <v>23104</v>
      </c>
      <c r="AF11" s="90">
        <f t="shared" si="20"/>
        <v>18483.2</v>
      </c>
      <c r="AG11" s="90">
        <f t="shared" si="21"/>
        <v>14786.560000000001</v>
      </c>
      <c r="AH11" s="44"/>
      <c r="AI11" s="45"/>
      <c r="AJ11" s="45"/>
    </row>
    <row r="12" spans="1:75" s="2" customFormat="1" ht="25.5" x14ac:dyDescent="0.3">
      <c r="A12" s="193" t="s">
        <v>161</v>
      </c>
      <c r="B12" s="144" t="s">
        <v>186</v>
      </c>
      <c r="C12" s="193" t="s">
        <v>187</v>
      </c>
      <c r="D12" s="198">
        <f>500*80</f>
        <v>40000</v>
      </c>
      <c r="E12" s="147" t="s">
        <v>188</v>
      </c>
      <c r="F12" s="195" t="s">
        <v>189</v>
      </c>
      <c r="G12" s="192" t="s">
        <v>190</v>
      </c>
      <c r="H12" s="148" t="s">
        <v>177</v>
      </c>
      <c r="I12" s="148">
        <v>500</v>
      </c>
      <c r="J12" s="148">
        <v>3</v>
      </c>
      <c r="K12" s="148" t="s">
        <v>184</v>
      </c>
      <c r="L12" s="196" t="s">
        <v>191</v>
      </c>
      <c r="M12" s="149">
        <v>80000</v>
      </c>
      <c r="N12" s="148" t="s">
        <v>139</v>
      </c>
      <c r="O12" s="140">
        <v>0.3</v>
      </c>
      <c r="P12" s="140">
        <v>0.1</v>
      </c>
      <c r="Q12" s="140">
        <v>0.1</v>
      </c>
      <c r="R12" s="140">
        <v>0.2</v>
      </c>
      <c r="S12" s="90">
        <f t="shared" si="9"/>
        <v>22680000</v>
      </c>
      <c r="T12" s="91"/>
      <c r="U12" s="90">
        <f t="shared" si="10"/>
        <v>0</v>
      </c>
      <c r="V12" s="90">
        <f t="shared" si="11"/>
        <v>22680000</v>
      </c>
      <c r="W12" s="90">
        <f t="shared" si="12"/>
        <v>18144000</v>
      </c>
      <c r="X12" s="90">
        <f t="shared" si="13"/>
        <v>14515200</v>
      </c>
      <c r="Y12" s="90">
        <f t="shared" si="14"/>
        <v>0</v>
      </c>
      <c r="Z12" s="90">
        <f t="shared" si="15"/>
        <v>0</v>
      </c>
      <c r="AA12" s="102"/>
      <c r="AB12" s="90">
        <f t="shared" si="16"/>
        <v>22680000</v>
      </c>
      <c r="AC12" s="90">
        <f t="shared" si="17"/>
        <v>22680000</v>
      </c>
      <c r="AD12" s="90">
        <f t="shared" si="18"/>
        <v>18144000</v>
      </c>
      <c r="AE12" s="90">
        <f t="shared" si="19"/>
        <v>14515200</v>
      </c>
      <c r="AF12" s="90">
        <f t="shared" si="20"/>
        <v>0</v>
      </c>
      <c r="AG12" s="90">
        <f t="shared" si="21"/>
        <v>0</v>
      </c>
      <c r="AH12" s="44"/>
      <c r="AI12" s="45"/>
      <c r="AJ12" s="45"/>
    </row>
    <row r="13" spans="1:75" s="2" customFormat="1" ht="27" x14ac:dyDescent="0.3">
      <c r="A13" s="192" t="s">
        <v>162</v>
      </c>
      <c r="B13" s="144" t="s">
        <v>192</v>
      </c>
      <c r="C13" s="153" t="s">
        <v>193</v>
      </c>
      <c r="D13" s="153">
        <f>25700*1</f>
        <v>25700</v>
      </c>
      <c r="E13" s="147" t="s">
        <v>194</v>
      </c>
      <c r="F13" s="189" t="s">
        <v>195</v>
      </c>
      <c r="G13" s="196" t="s">
        <v>196</v>
      </c>
      <c r="H13" s="148" t="s">
        <v>177</v>
      </c>
      <c r="I13" s="148">
        <v>3</v>
      </c>
      <c r="J13" s="148">
        <v>5</v>
      </c>
      <c r="K13" s="148" t="s">
        <v>141</v>
      </c>
      <c r="L13" s="196" t="s">
        <v>197</v>
      </c>
      <c r="M13" s="149">
        <v>150000</v>
      </c>
      <c r="N13" s="148" t="s">
        <v>139</v>
      </c>
      <c r="O13" s="140">
        <v>0.1</v>
      </c>
      <c r="P13" s="140">
        <v>0.05</v>
      </c>
      <c r="Q13" s="140">
        <v>0.1</v>
      </c>
      <c r="R13" s="140">
        <v>0.1</v>
      </c>
      <c r="S13" s="90">
        <f t="shared" si="9"/>
        <v>346275</v>
      </c>
      <c r="T13" s="91"/>
      <c r="U13" s="90">
        <f t="shared" si="10"/>
        <v>0</v>
      </c>
      <c r="V13" s="90">
        <f t="shared" si="11"/>
        <v>346275</v>
      </c>
      <c r="W13" s="90">
        <f t="shared" si="12"/>
        <v>311647.5</v>
      </c>
      <c r="X13" s="90">
        <f t="shared" si="13"/>
        <v>280482.75</v>
      </c>
      <c r="Y13" s="90">
        <f t="shared" si="14"/>
        <v>252434.47500000001</v>
      </c>
      <c r="Z13" s="90">
        <f t="shared" si="15"/>
        <v>227191.0275</v>
      </c>
      <c r="AA13" s="102"/>
      <c r="AB13" s="90">
        <f t="shared" si="16"/>
        <v>346275</v>
      </c>
      <c r="AC13" s="90">
        <f t="shared" si="17"/>
        <v>346275</v>
      </c>
      <c r="AD13" s="90">
        <f t="shared" si="18"/>
        <v>311647.5</v>
      </c>
      <c r="AE13" s="90">
        <f t="shared" si="19"/>
        <v>280482.75</v>
      </c>
      <c r="AF13" s="90">
        <f t="shared" si="20"/>
        <v>252434.47500000001</v>
      </c>
      <c r="AG13" s="90">
        <f t="shared" si="21"/>
        <v>227191.0275</v>
      </c>
      <c r="AH13" s="44"/>
      <c r="AI13" s="45"/>
      <c r="AJ13" s="45"/>
    </row>
    <row r="14" spans="1:75" s="2" customFormat="1" ht="21.75" customHeight="1" x14ac:dyDescent="0.3">
      <c r="A14" s="2" t="s">
        <v>158</v>
      </c>
      <c r="B14" s="144" t="s">
        <v>203</v>
      </c>
      <c r="C14" s="194" t="s">
        <v>164</v>
      </c>
      <c r="D14" s="144">
        <f>20*240</f>
        <v>4800</v>
      </c>
      <c r="E14" s="147" t="s">
        <v>198</v>
      </c>
      <c r="F14" s="154" t="s">
        <v>199</v>
      </c>
      <c r="G14" s="153" t="s">
        <v>200</v>
      </c>
      <c r="H14" s="148" t="s">
        <v>177</v>
      </c>
      <c r="I14" s="148">
        <v>20</v>
      </c>
      <c r="J14" s="148">
        <v>5</v>
      </c>
      <c r="K14" s="148" t="s">
        <v>201</v>
      </c>
      <c r="L14" s="196" t="s">
        <v>202</v>
      </c>
      <c r="M14" s="149">
        <v>10000</v>
      </c>
      <c r="N14" s="148" t="s">
        <v>139</v>
      </c>
      <c r="O14" s="140">
        <v>0.5</v>
      </c>
      <c r="P14" s="140">
        <v>0</v>
      </c>
      <c r="Q14" s="140">
        <v>0.5</v>
      </c>
      <c r="R14" s="140">
        <v>0.3</v>
      </c>
      <c r="S14" s="90">
        <f t="shared" si="9"/>
        <v>50000</v>
      </c>
      <c r="T14" s="91"/>
      <c r="U14" s="90">
        <f t="shared" si="10"/>
        <v>0</v>
      </c>
      <c r="V14" s="90">
        <f t="shared" si="11"/>
        <v>50000</v>
      </c>
      <c r="W14" s="90">
        <f t="shared" si="12"/>
        <v>35000</v>
      </c>
      <c r="X14" s="90">
        <f t="shared" si="13"/>
        <v>24500</v>
      </c>
      <c r="Y14" s="90">
        <f t="shared" si="14"/>
        <v>17150</v>
      </c>
      <c r="Z14" s="90">
        <f t="shared" si="15"/>
        <v>12005</v>
      </c>
      <c r="AA14" s="102"/>
      <c r="AB14" s="90">
        <f t="shared" si="16"/>
        <v>50000</v>
      </c>
      <c r="AC14" s="90">
        <f t="shared" si="17"/>
        <v>50000</v>
      </c>
      <c r="AD14" s="90">
        <f t="shared" si="18"/>
        <v>35000</v>
      </c>
      <c r="AE14" s="90">
        <f t="shared" si="19"/>
        <v>24500</v>
      </c>
      <c r="AF14" s="90">
        <f t="shared" si="20"/>
        <v>17150</v>
      </c>
      <c r="AG14" s="90">
        <f t="shared" si="21"/>
        <v>12005</v>
      </c>
      <c r="AH14" s="44"/>
      <c r="AI14" s="45"/>
      <c r="AJ14" s="45"/>
    </row>
    <row r="15" spans="1:75" s="2" customFormat="1" ht="20.25" customHeight="1" x14ac:dyDescent="0.2">
      <c r="B15" s="144"/>
      <c r="C15" s="144"/>
      <c r="D15" s="144"/>
      <c r="E15" s="147"/>
      <c r="F15" s="155"/>
      <c r="G15" s="150"/>
      <c r="H15" s="148"/>
      <c r="I15" s="148"/>
      <c r="J15" s="148"/>
      <c r="K15" s="148"/>
      <c r="L15" s="148"/>
      <c r="M15" s="149"/>
      <c r="N15" s="152"/>
      <c r="O15" s="140">
        <v>0</v>
      </c>
      <c r="P15" s="140">
        <v>0</v>
      </c>
      <c r="Q15" s="140">
        <v>0</v>
      </c>
      <c r="R15" s="140">
        <v>0</v>
      </c>
      <c r="S15" s="90">
        <f>I15*M15*(1-O15)*(1-P15)*(1-Q15)</f>
        <v>0</v>
      </c>
      <c r="T15" s="91"/>
      <c r="U15" s="90">
        <f t="shared" si="10"/>
        <v>0</v>
      </c>
      <c r="V15" s="90">
        <f t="shared" si="11"/>
        <v>0</v>
      </c>
      <c r="W15" s="90">
        <f t="shared" si="12"/>
        <v>0</v>
      </c>
      <c r="X15" s="90">
        <f t="shared" si="13"/>
        <v>0</v>
      </c>
      <c r="Y15" s="90">
        <f t="shared" si="14"/>
        <v>0</v>
      </c>
      <c r="Z15" s="90">
        <f t="shared" si="15"/>
        <v>0</v>
      </c>
      <c r="AA15" s="102"/>
      <c r="AB15" s="90">
        <f>IF(J15&gt;=0,S15,0)</f>
        <v>0</v>
      </c>
      <c r="AC15" s="90">
        <f t="shared" si="17"/>
        <v>0</v>
      </c>
      <c r="AD15" s="90">
        <f t="shared" si="18"/>
        <v>0</v>
      </c>
      <c r="AE15" s="90">
        <f t="shared" si="19"/>
        <v>0</v>
      </c>
      <c r="AF15" s="90">
        <f>IF(J15&gt;3,AE15,0)*(1-R15)</f>
        <v>0</v>
      </c>
      <c r="AG15" s="90">
        <f>IF(J15&gt;4,AF15,0)*(1-R15)</f>
        <v>0</v>
      </c>
      <c r="AH15" s="44"/>
      <c r="AI15" s="45"/>
      <c r="AJ15" s="45"/>
    </row>
    <row r="16" spans="1:75" s="2" customFormat="1" ht="26.25" customHeight="1" x14ac:dyDescent="0.2">
      <c r="B16" s="144"/>
      <c r="C16" s="144"/>
      <c r="D16" s="144"/>
      <c r="E16" s="147"/>
      <c r="F16" s="147"/>
      <c r="G16" s="148"/>
      <c r="H16" s="148"/>
      <c r="I16" s="148"/>
      <c r="J16" s="148"/>
      <c r="K16" s="148"/>
      <c r="L16" s="148"/>
      <c r="M16" s="152"/>
      <c r="N16" s="148"/>
      <c r="O16" s="140">
        <v>0</v>
      </c>
      <c r="P16" s="140">
        <v>0</v>
      </c>
      <c r="Q16" s="140">
        <v>0.66</v>
      </c>
      <c r="R16" s="140">
        <v>0</v>
      </c>
      <c r="S16" s="90">
        <f>I16*M16*(1-O16)*(1-P16)*(1-Q16)</f>
        <v>0</v>
      </c>
      <c r="T16" s="91"/>
      <c r="U16" s="90">
        <f t="shared" ref="U16:U18" si="22">IF(K16=1,AB16,0)</f>
        <v>0</v>
      </c>
      <c r="V16" s="90">
        <f t="shared" ref="V16:V18" si="23">IF(K16=1,AC16, AB16)</f>
        <v>0</v>
      </c>
      <c r="W16" s="90">
        <f t="shared" ref="W16:W18" si="24">AD16</f>
        <v>0</v>
      </c>
      <c r="X16" s="90">
        <f t="shared" ref="X16:X18" si="25">AE16</f>
        <v>0</v>
      </c>
      <c r="Y16" s="90">
        <f t="shared" ref="Y16:Y18" si="26">AF16</f>
        <v>0</v>
      </c>
      <c r="Z16" s="90">
        <f t="shared" ref="Z16:Z18" si="27">AG16</f>
        <v>0</v>
      </c>
      <c r="AA16" s="102"/>
      <c r="AB16" s="90">
        <f t="shared" ref="AB16:AB18" si="28">IF(J16&gt;=0,S16,0)</f>
        <v>0</v>
      </c>
      <c r="AC16" s="90">
        <f t="shared" ref="AC16:AC18" si="29">IF(J16&gt;=1,S16,0)</f>
        <v>0</v>
      </c>
      <c r="AD16" s="90">
        <f t="shared" ref="AD16:AD18" si="30">IF(J16&gt;1,AC16,0)*(1-R16)</f>
        <v>0</v>
      </c>
      <c r="AE16" s="90">
        <f t="shared" ref="AE16:AE18" si="31">IF(J16&gt;2,AD16,0)*(1-R16)</f>
        <v>0</v>
      </c>
      <c r="AF16" s="90">
        <f t="shared" ref="AF16:AF18" si="32">IF(J16&gt;3,AE16,0)*(1-R16)</f>
        <v>0</v>
      </c>
      <c r="AG16" s="90">
        <f t="shared" ref="AG16:AG18" si="33">IF(J16&gt;4,AF16,0)*(1-R16)</f>
        <v>0</v>
      </c>
      <c r="AH16" s="44"/>
      <c r="AI16" s="45"/>
      <c r="AJ16" s="45"/>
    </row>
    <row r="17" spans="1:36" s="2" customFormat="1" ht="18.75" x14ac:dyDescent="0.3">
      <c r="A17" s="191"/>
      <c r="B17" s="144"/>
      <c r="C17" s="144"/>
      <c r="D17" s="144"/>
      <c r="E17" s="147"/>
      <c r="F17" s="156"/>
      <c r="G17" s="148"/>
      <c r="H17" s="148"/>
      <c r="I17" s="150"/>
      <c r="J17" s="150"/>
      <c r="K17" s="150"/>
      <c r="L17" s="150"/>
      <c r="M17" s="151"/>
      <c r="N17" s="150"/>
      <c r="O17" s="140">
        <v>0</v>
      </c>
      <c r="P17" s="140">
        <v>0</v>
      </c>
      <c r="Q17" s="140">
        <v>0.66</v>
      </c>
      <c r="R17" s="140">
        <v>0</v>
      </c>
      <c r="S17" s="90">
        <f t="shared" ref="S17:S18" si="34">I17*M17*(1-O17)*(1-P17)*(1-Q17)</f>
        <v>0</v>
      </c>
      <c r="T17" s="91"/>
      <c r="U17" s="90">
        <f t="shared" si="22"/>
        <v>0</v>
      </c>
      <c r="V17" s="90">
        <f t="shared" si="23"/>
        <v>0</v>
      </c>
      <c r="W17" s="90">
        <f t="shared" si="24"/>
        <v>0</v>
      </c>
      <c r="X17" s="90">
        <f t="shared" si="25"/>
        <v>0</v>
      </c>
      <c r="Y17" s="90">
        <f t="shared" si="26"/>
        <v>0</v>
      </c>
      <c r="Z17" s="90">
        <f t="shared" si="27"/>
        <v>0</v>
      </c>
      <c r="AA17" s="102"/>
      <c r="AB17" s="90">
        <f t="shared" si="28"/>
        <v>0</v>
      </c>
      <c r="AC17" s="90">
        <f t="shared" si="29"/>
        <v>0</v>
      </c>
      <c r="AD17" s="90">
        <f t="shared" si="30"/>
        <v>0</v>
      </c>
      <c r="AE17" s="90">
        <f t="shared" si="31"/>
        <v>0</v>
      </c>
      <c r="AF17" s="90">
        <f t="shared" si="32"/>
        <v>0</v>
      </c>
      <c r="AG17" s="90">
        <f t="shared" si="33"/>
        <v>0</v>
      </c>
      <c r="AH17" s="44"/>
      <c r="AI17" s="45"/>
      <c r="AJ17" s="45"/>
    </row>
    <row r="18" spans="1:36" s="2" customFormat="1" ht="18.75" x14ac:dyDescent="0.3">
      <c r="A18" s="194"/>
      <c r="B18" s="150"/>
      <c r="C18" s="150"/>
      <c r="D18" s="150"/>
      <c r="E18" s="147"/>
      <c r="F18" s="147"/>
      <c r="G18" s="157"/>
      <c r="H18" s="148"/>
      <c r="I18" s="150"/>
      <c r="J18" s="150"/>
      <c r="K18" s="150"/>
      <c r="L18" s="150"/>
      <c r="M18" s="151"/>
      <c r="N18" s="158"/>
      <c r="O18" s="140">
        <v>0</v>
      </c>
      <c r="P18" s="140">
        <v>0</v>
      </c>
      <c r="Q18" s="140">
        <v>0.66</v>
      </c>
      <c r="R18" s="140">
        <v>0</v>
      </c>
      <c r="S18" s="90">
        <f t="shared" si="34"/>
        <v>0</v>
      </c>
      <c r="T18" s="91"/>
      <c r="U18" s="90">
        <f t="shared" si="22"/>
        <v>0</v>
      </c>
      <c r="V18" s="90">
        <f t="shared" si="23"/>
        <v>0</v>
      </c>
      <c r="W18" s="90">
        <f t="shared" si="24"/>
        <v>0</v>
      </c>
      <c r="X18" s="90">
        <f t="shared" si="25"/>
        <v>0</v>
      </c>
      <c r="Y18" s="90">
        <f t="shared" si="26"/>
        <v>0</v>
      </c>
      <c r="Z18" s="90">
        <f t="shared" si="27"/>
        <v>0</v>
      </c>
      <c r="AA18" s="102"/>
      <c r="AB18" s="90">
        <f t="shared" si="28"/>
        <v>0</v>
      </c>
      <c r="AC18" s="90">
        <f t="shared" si="29"/>
        <v>0</v>
      </c>
      <c r="AD18" s="90">
        <f t="shared" si="30"/>
        <v>0</v>
      </c>
      <c r="AE18" s="90">
        <f t="shared" si="31"/>
        <v>0</v>
      </c>
      <c r="AF18" s="90">
        <f t="shared" si="32"/>
        <v>0</v>
      </c>
      <c r="AG18" s="90">
        <f t="shared" si="33"/>
        <v>0</v>
      </c>
      <c r="AH18" s="44"/>
      <c r="AI18" s="45"/>
      <c r="AJ18" s="45"/>
    </row>
    <row r="19" spans="1:36" s="2" customFormat="1" x14ac:dyDescent="0.2">
      <c r="A19" s="159"/>
      <c r="B19" s="150"/>
      <c r="C19" s="150"/>
      <c r="D19" s="150"/>
      <c r="E19" s="147"/>
      <c r="F19" s="147"/>
      <c r="G19" s="154"/>
      <c r="H19" s="148"/>
      <c r="I19" s="150"/>
      <c r="J19" s="150"/>
      <c r="K19" s="150"/>
      <c r="L19" s="150"/>
      <c r="M19" s="151"/>
      <c r="N19" s="160"/>
      <c r="O19" s="140">
        <v>0</v>
      </c>
      <c r="P19" s="140">
        <v>0</v>
      </c>
      <c r="Q19" s="140">
        <v>0.6</v>
      </c>
      <c r="R19" s="140">
        <v>0</v>
      </c>
      <c r="S19" s="90">
        <f t="shared" ref="S19:S29" si="35">+I19*M19*(1-O19)*(1-P19)*(1-Q19)</f>
        <v>0</v>
      </c>
      <c r="T19" s="91"/>
      <c r="U19" s="90">
        <f t="shared" ref="U19:U29" si="36">IF(K19=1,AB19,0)</f>
        <v>0</v>
      </c>
      <c r="V19" s="90">
        <f t="shared" ref="V19:V29" si="37">IF(K19=1,AC19, AB19)</f>
        <v>0</v>
      </c>
      <c r="W19" s="90">
        <f t="shared" ref="W19:W29" si="38">AD19</f>
        <v>0</v>
      </c>
      <c r="X19" s="90">
        <f t="shared" ref="X19:X29" si="39">AE19</f>
        <v>0</v>
      </c>
      <c r="Y19" s="90">
        <f t="shared" ref="Y19:Y29" si="40">AF19</f>
        <v>0</v>
      </c>
      <c r="Z19" s="90">
        <f t="shared" ref="Z19:Z29" si="41">AG19</f>
        <v>0</v>
      </c>
      <c r="AA19" s="102"/>
      <c r="AB19" s="90">
        <f t="shared" ref="AB19:AB29" si="42">IF(J19&gt;=0,S19,0)</f>
        <v>0</v>
      </c>
      <c r="AC19" s="90">
        <f t="shared" ref="AC19:AC29" si="43">IF(J19&gt;=1,S19,0)</f>
        <v>0</v>
      </c>
      <c r="AD19" s="90">
        <f t="shared" ref="AD19:AD29" si="44">IF(J19&gt;1,AC19,0)*(1-R19)</f>
        <v>0</v>
      </c>
      <c r="AE19" s="90">
        <f t="shared" ref="AE19:AE29" si="45">IF(J19&gt;2,AD19,0)*(1-R19)</f>
        <v>0</v>
      </c>
      <c r="AF19" s="90">
        <f t="shared" ref="AF19:AF20" si="46">IF(J19&gt;3,AE19,0)*(1-R19)</f>
        <v>0</v>
      </c>
      <c r="AG19" s="90">
        <f t="shared" ref="AG19:AG29" si="47">IF(J19&gt;4,AF19,0)*(1-R19)</f>
        <v>0</v>
      </c>
      <c r="AH19" s="44"/>
      <c r="AI19" s="45"/>
      <c r="AJ19" s="45"/>
    </row>
    <row r="20" spans="1:36" s="2" customFormat="1" x14ac:dyDescent="0.2">
      <c r="A20" s="153"/>
      <c r="B20" s="153"/>
      <c r="C20" s="153"/>
      <c r="D20" s="153"/>
      <c r="E20" s="153"/>
      <c r="F20" s="150"/>
      <c r="G20" s="153"/>
      <c r="H20" s="148"/>
      <c r="I20" s="150"/>
      <c r="J20" s="150"/>
      <c r="K20" s="150"/>
      <c r="L20" s="150"/>
      <c r="M20" s="151"/>
      <c r="N20" s="150"/>
      <c r="O20" s="140">
        <v>0</v>
      </c>
      <c r="P20" s="140">
        <v>0</v>
      </c>
      <c r="Q20" s="140">
        <v>0.6</v>
      </c>
      <c r="R20" s="140">
        <v>0.3</v>
      </c>
      <c r="S20" s="90">
        <f>+I20*M20*(1-O20)*(1-P20)*(1-Q20)</f>
        <v>0</v>
      </c>
      <c r="T20" s="91"/>
      <c r="U20" s="90">
        <f t="shared" si="36"/>
        <v>0</v>
      </c>
      <c r="V20" s="90">
        <f t="shared" si="37"/>
        <v>0</v>
      </c>
      <c r="W20" s="90">
        <f t="shared" si="38"/>
        <v>0</v>
      </c>
      <c r="X20" s="90">
        <f t="shared" si="39"/>
        <v>0</v>
      </c>
      <c r="Y20" s="90">
        <f t="shared" si="40"/>
        <v>0</v>
      </c>
      <c r="Z20" s="90">
        <f t="shared" si="41"/>
        <v>0</v>
      </c>
      <c r="AA20" s="102"/>
      <c r="AB20" s="90">
        <f>IF(J20&gt;=0,S20,0)</f>
        <v>0</v>
      </c>
      <c r="AC20" s="90">
        <f>IF(J20&gt;=1,S20,0)</f>
        <v>0</v>
      </c>
      <c r="AD20" s="90">
        <f t="shared" si="44"/>
        <v>0</v>
      </c>
      <c r="AE20" s="90">
        <f t="shared" si="45"/>
        <v>0</v>
      </c>
      <c r="AF20" s="90">
        <f t="shared" si="46"/>
        <v>0</v>
      </c>
      <c r="AG20" s="90">
        <f t="shared" si="47"/>
        <v>0</v>
      </c>
      <c r="AH20" s="44"/>
      <c r="AI20" s="45"/>
      <c r="AJ20" s="45"/>
    </row>
    <row r="21" spans="1:36" s="2" customFormat="1" x14ac:dyDescent="0.2">
      <c r="A21" s="150"/>
      <c r="B21" s="150"/>
      <c r="C21" s="150"/>
      <c r="D21" s="151"/>
      <c r="E21" s="150"/>
      <c r="F21" s="150"/>
      <c r="G21" s="153"/>
      <c r="H21" s="148"/>
      <c r="I21" s="150"/>
      <c r="J21" s="150"/>
      <c r="K21" s="150"/>
      <c r="L21" s="150"/>
      <c r="M21" s="151"/>
      <c r="N21" s="160"/>
      <c r="O21" s="140">
        <v>0</v>
      </c>
      <c r="P21" s="140">
        <v>0</v>
      </c>
      <c r="Q21" s="140">
        <v>0.6</v>
      </c>
      <c r="R21" s="140">
        <v>0</v>
      </c>
      <c r="S21" s="90">
        <f t="shared" si="35"/>
        <v>0</v>
      </c>
      <c r="T21" s="91"/>
      <c r="U21" s="90">
        <f t="shared" si="36"/>
        <v>0</v>
      </c>
      <c r="V21" s="90">
        <f t="shared" si="37"/>
        <v>0</v>
      </c>
      <c r="W21" s="90">
        <f t="shared" si="38"/>
        <v>0</v>
      </c>
      <c r="X21" s="90">
        <f t="shared" si="39"/>
        <v>0</v>
      </c>
      <c r="Y21" s="90">
        <f t="shared" si="40"/>
        <v>0</v>
      </c>
      <c r="Z21" s="90">
        <f t="shared" si="41"/>
        <v>0</v>
      </c>
      <c r="AA21" s="102"/>
      <c r="AB21" s="90">
        <f t="shared" si="42"/>
        <v>0</v>
      </c>
      <c r="AC21" s="90">
        <f t="shared" si="43"/>
        <v>0</v>
      </c>
      <c r="AD21" s="90">
        <f t="shared" si="44"/>
        <v>0</v>
      </c>
      <c r="AE21" s="90">
        <f t="shared" si="45"/>
        <v>0</v>
      </c>
      <c r="AF21" s="90">
        <f t="shared" ref="AF21:AF29" si="48">IF(J21&gt;3,AD21,0)*(1-R21)</f>
        <v>0</v>
      </c>
      <c r="AG21" s="90">
        <f t="shared" si="47"/>
        <v>0</v>
      </c>
      <c r="AH21" s="44"/>
      <c r="AI21" s="45"/>
      <c r="AJ21" s="45"/>
    </row>
    <row r="22" spans="1:36" s="2" customFormat="1" x14ac:dyDescent="0.2">
      <c r="A22" s="150"/>
      <c r="B22" s="150"/>
      <c r="C22" s="150"/>
      <c r="D22" s="151"/>
      <c r="E22" s="150"/>
      <c r="F22" s="150"/>
      <c r="G22" s="154"/>
      <c r="H22" s="148"/>
      <c r="I22" s="154"/>
      <c r="J22" s="161"/>
      <c r="K22" s="161"/>
      <c r="L22" s="150"/>
      <c r="M22" s="151"/>
      <c r="N22" s="160"/>
      <c r="O22" s="140">
        <v>0</v>
      </c>
      <c r="P22" s="140">
        <v>0</v>
      </c>
      <c r="Q22" s="140">
        <v>0.6</v>
      </c>
      <c r="R22" s="140">
        <v>0</v>
      </c>
      <c r="S22" s="90">
        <f t="shared" si="35"/>
        <v>0</v>
      </c>
      <c r="T22" s="91"/>
      <c r="U22" s="90">
        <f t="shared" si="36"/>
        <v>0</v>
      </c>
      <c r="V22" s="90">
        <f t="shared" si="37"/>
        <v>0</v>
      </c>
      <c r="W22" s="90">
        <f t="shared" si="38"/>
        <v>0</v>
      </c>
      <c r="X22" s="90">
        <f t="shared" si="39"/>
        <v>0</v>
      </c>
      <c r="Y22" s="90">
        <f t="shared" si="40"/>
        <v>0</v>
      </c>
      <c r="Z22" s="90">
        <f t="shared" si="41"/>
        <v>0</v>
      </c>
      <c r="AA22" s="102"/>
      <c r="AB22" s="90">
        <f t="shared" si="42"/>
        <v>0</v>
      </c>
      <c r="AC22" s="90">
        <f t="shared" si="43"/>
        <v>0</v>
      </c>
      <c r="AD22" s="90">
        <f t="shared" si="44"/>
        <v>0</v>
      </c>
      <c r="AE22" s="90">
        <f t="shared" si="45"/>
        <v>0</v>
      </c>
      <c r="AF22" s="90">
        <f t="shared" si="48"/>
        <v>0</v>
      </c>
      <c r="AG22" s="90">
        <f t="shared" si="47"/>
        <v>0</v>
      </c>
      <c r="AH22" s="44"/>
      <c r="AI22" s="45"/>
      <c r="AJ22" s="45"/>
    </row>
    <row r="23" spans="1:36" s="2" customFormat="1" ht="34.9" customHeight="1" x14ac:dyDescent="0.2">
      <c r="A23" s="150"/>
      <c r="B23" s="150"/>
      <c r="C23" s="150"/>
      <c r="D23" s="151"/>
      <c r="E23" s="150"/>
      <c r="F23" s="150"/>
      <c r="G23" s="153"/>
      <c r="H23" s="148"/>
      <c r="I23" s="153"/>
      <c r="J23" s="150"/>
      <c r="K23" s="150"/>
      <c r="L23" s="162" t="s">
        <v>143</v>
      </c>
      <c r="M23" s="163">
        <v>-3000</v>
      </c>
      <c r="N23" s="164" t="s">
        <v>140</v>
      </c>
      <c r="O23" s="140">
        <v>0</v>
      </c>
      <c r="P23" s="140">
        <v>0</v>
      </c>
      <c r="Q23" s="140">
        <v>0</v>
      </c>
      <c r="R23" s="140">
        <v>0</v>
      </c>
      <c r="S23" s="90">
        <f t="shared" si="35"/>
        <v>0</v>
      </c>
      <c r="T23" s="91"/>
      <c r="U23" s="90">
        <f t="shared" ref="U23:U24" si="49">IF(K23=1,AB23,0)</f>
        <v>0</v>
      </c>
      <c r="V23" s="90">
        <f t="shared" ref="V23:V24" si="50">IF(K23=1,AC23, AB23)</f>
        <v>0</v>
      </c>
      <c r="W23" s="90">
        <f t="shared" ref="W23:W24" si="51">AD23</f>
        <v>0</v>
      </c>
      <c r="X23" s="90">
        <f t="shared" ref="X23:X24" si="52">AE23</f>
        <v>0</v>
      </c>
      <c r="Y23" s="90">
        <f t="shared" ref="Y23:Y24" si="53">AF23</f>
        <v>0</v>
      </c>
      <c r="Z23" s="90">
        <f t="shared" ref="Z23:Z24" si="54">AG23</f>
        <v>0</v>
      </c>
      <c r="AA23" s="102"/>
      <c r="AB23" s="90">
        <f t="shared" ref="AB23:AB24" si="55">IF(J23&gt;=0,S23,0)</f>
        <v>0</v>
      </c>
      <c r="AC23" s="90">
        <f t="shared" ref="AC23:AC24" si="56">IF(J23&gt;=1,S23,0)</f>
        <v>0</v>
      </c>
      <c r="AD23" s="90">
        <f t="shared" ref="AD23:AD24" si="57">IF(J23&gt;1,AC23,0)*(1-R23)</f>
        <v>0</v>
      </c>
      <c r="AE23" s="90">
        <f t="shared" ref="AE23:AE24" si="58">IF(J23&gt;2,AD23,0)*(1-R23)</f>
        <v>0</v>
      </c>
      <c r="AF23" s="90">
        <f t="shared" ref="AF23:AF24" si="59">IF(J23&gt;3,AD23,0)*(1-R23)</f>
        <v>0</v>
      </c>
      <c r="AG23" s="90">
        <f t="shared" ref="AG23:AG24" si="60">IF(J23&gt;4,AF23,0)*(1-R23)</f>
        <v>0</v>
      </c>
      <c r="AH23" s="44"/>
      <c r="AI23" s="45"/>
      <c r="AJ23" s="45"/>
    </row>
    <row r="24" spans="1:36" s="2" customFormat="1" ht="29.25" customHeight="1" x14ac:dyDescent="0.2">
      <c r="A24" s="150"/>
      <c r="B24" s="150"/>
      <c r="C24" s="150"/>
      <c r="D24" s="151"/>
      <c r="E24" s="150"/>
      <c r="F24" s="150"/>
      <c r="G24" s="154"/>
      <c r="H24" s="148"/>
      <c r="I24" s="154"/>
      <c r="J24" s="165"/>
      <c r="K24" s="165"/>
      <c r="L24" s="150"/>
      <c r="M24" s="151"/>
      <c r="N24" s="150"/>
      <c r="O24" s="140">
        <v>0</v>
      </c>
      <c r="P24" s="140">
        <v>0</v>
      </c>
      <c r="Q24" s="140">
        <v>0.1</v>
      </c>
      <c r="R24" s="140">
        <v>0.2</v>
      </c>
      <c r="S24" s="141">
        <f t="shared" si="35"/>
        <v>0</v>
      </c>
      <c r="T24" s="91"/>
      <c r="U24" s="90">
        <f t="shared" si="49"/>
        <v>0</v>
      </c>
      <c r="V24" s="90">
        <f t="shared" si="50"/>
        <v>0</v>
      </c>
      <c r="W24" s="90">
        <f t="shared" si="51"/>
        <v>0</v>
      </c>
      <c r="X24" s="90">
        <f t="shared" si="52"/>
        <v>0</v>
      </c>
      <c r="Y24" s="90">
        <f t="shared" si="53"/>
        <v>0</v>
      </c>
      <c r="Z24" s="90">
        <f t="shared" si="54"/>
        <v>0</v>
      </c>
      <c r="AA24" s="102"/>
      <c r="AB24" s="90">
        <f t="shared" si="55"/>
        <v>0</v>
      </c>
      <c r="AC24" s="90">
        <f t="shared" si="56"/>
        <v>0</v>
      </c>
      <c r="AD24" s="90">
        <f t="shared" si="57"/>
        <v>0</v>
      </c>
      <c r="AE24" s="90">
        <f t="shared" si="58"/>
        <v>0</v>
      </c>
      <c r="AF24" s="90">
        <f t="shared" si="59"/>
        <v>0</v>
      </c>
      <c r="AG24" s="90">
        <f t="shared" si="60"/>
        <v>0</v>
      </c>
      <c r="AH24" s="44"/>
      <c r="AI24" s="45"/>
      <c r="AJ24" s="45"/>
    </row>
    <row r="25" spans="1:36" s="2" customFormat="1" x14ac:dyDescent="0.2">
      <c r="A25" s="150"/>
      <c r="B25" s="150"/>
      <c r="C25" s="150"/>
      <c r="D25" s="151"/>
      <c r="E25" s="150"/>
      <c r="F25" s="150"/>
      <c r="G25" s="150"/>
      <c r="H25" s="148"/>
      <c r="I25" s="150"/>
      <c r="J25" s="150"/>
      <c r="K25" s="150"/>
      <c r="L25" s="150"/>
      <c r="M25" s="151">
        <f>15000*3</f>
        <v>45000</v>
      </c>
      <c r="N25" s="148" t="s">
        <v>139</v>
      </c>
      <c r="O25" s="140">
        <v>0</v>
      </c>
      <c r="P25" s="140">
        <v>0</v>
      </c>
      <c r="Q25" s="140">
        <v>0.3</v>
      </c>
      <c r="R25" s="140">
        <v>0</v>
      </c>
      <c r="S25" s="90">
        <f>+I25*M25*(1-O25)*(1-P25)*(1-Q25)</f>
        <v>0</v>
      </c>
      <c r="T25" s="91"/>
      <c r="U25" s="141">
        <f t="shared" si="36"/>
        <v>0</v>
      </c>
      <c r="V25" s="141">
        <f t="shared" si="37"/>
        <v>0</v>
      </c>
      <c r="W25" s="141">
        <f t="shared" si="38"/>
        <v>0</v>
      </c>
      <c r="X25" s="141">
        <f t="shared" si="39"/>
        <v>0</v>
      </c>
      <c r="Y25" s="141">
        <f t="shared" si="40"/>
        <v>0</v>
      </c>
      <c r="Z25" s="141">
        <f t="shared" si="41"/>
        <v>0</v>
      </c>
      <c r="AA25" s="142"/>
      <c r="AB25" s="141">
        <f>IF(J25&gt;=0,S25,0)</f>
        <v>0</v>
      </c>
      <c r="AC25" s="141">
        <f>IF(J25&gt;=1,S25,0)</f>
        <v>0</v>
      </c>
      <c r="AD25" s="141">
        <f t="shared" si="44"/>
        <v>0</v>
      </c>
      <c r="AE25" s="141">
        <f t="shared" si="45"/>
        <v>0</v>
      </c>
      <c r="AF25" s="141">
        <f t="shared" si="48"/>
        <v>0</v>
      </c>
      <c r="AG25" s="141">
        <f t="shared" si="47"/>
        <v>0</v>
      </c>
      <c r="AH25" s="44"/>
      <c r="AI25" s="45"/>
      <c r="AJ25" s="45"/>
    </row>
    <row r="26" spans="1:36" s="139" customFormat="1" x14ac:dyDescent="0.2">
      <c r="A26" s="150"/>
      <c r="B26" s="150"/>
      <c r="C26" s="150"/>
      <c r="D26" s="151"/>
      <c r="E26" s="150"/>
      <c r="F26" s="150"/>
      <c r="G26" s="150"/>
      <c r="H26" s="148"/>
      <c r="I26" s="150"/>
      <c r="J26" s="150"/>
      <c r="K26" s="150"/>
      <c r="L26" s="150"/>
      <c r="M26" s="151">
        <v>10000</v>
      </c>
      <c r="N26" s="148"/>
      <c r="O26" s="140">
        <v>0</v>
      </c>
      <c r="P26" s="140">
        <v>0</v>
      </c>
      <c r="Q26" s="140">
        <v>0</v>
      </c>
      <c r="R26" s="140">
        <v>0</v>
      </c>
      <c r="S26" s="90">
        <f t="shared" ref="S26:S27" si="61">+I26*M26*(1-O26)*(1-P26)*(1-Q26)</f>
        <v>0</v>
      </c>
      <c r="T26" s="136"/>
      <c r="U26" s="141">
        <f t="shared" ref="U26" si="62">IF(K26=1,AB26,0)</f>
        <v>0</v>
      </c>
      <c r="V26" s="141">
        <f t="shared" ref="V26" si="63">IF(K26=1,AC26, AB26)</f>
        <v>0</v>
      </c>
      <c r="W26" s="141">
        <f t="shared" ref="W26" si="64">AD26</f>
        <v>0</v>
      </c>
      <c r="X26" s="141">
        <f t="shared" ref="X26" si="65">AE26</f>
        <v>0</v>
      </c>
      <c r="Y26" s="141">
        <f t="shared" ref="Y26" si="66">AF26</f>
        <v>0</v>
      </c>
      <c r="Z26" s="141">
        <f t="shared" ref="Z26" si="67">AG26</f>
        <v>0</v>
      </c>
      <c r="AA26" s="142"/>
      <c r="AB26" s="141">
        <f t="shared" ref="AB26" si="68">IF(J26&gt;=0,S26,0)</f>
        <v>0</v>
      </c>
      <c r="AC26" s="141">
        <f t="shared" ref="AC26" si="69">IF(J26&gt;=1,S26,0)</f>
        <v>0</v>
      </c>
      <c r="AD26" s="141">
        <f t="shared" ref="AD26" si="70">IF(J26&gt;1,AC26,0)*(1-R26)</f>
        <v>0</v>
      </c>
      <c r="AE26" s="141">
        <f t="shared" ref="AE26" si="71">IF(J26&gt;2,AD26,0)*(1-R26)</f>
        <v>0</v>
      </c>
      <c r="AF26" s="141">
        <f t="shared" ref="AF26" si="72">IF(J26&gt;3,AD26,0)*(1-R26)</f>
        <v>0</v>
      </c>
      <c r="AG26" s="141">
        <f t="shared" ref="AG26" si="73">IF(J26&gt;4,AF26,0)*(1-R26)</f>
        <v>0</v>
      </c>
      <c r="AH26" s="137"/>
      <c r="AI26" s="138"/>
      <c r="AJ26" s="138"/>
    </row>
    <row r="27" spans="1:36" s="139" customFormat="1" x14ac:dyDescent="0.2">
      <c r="A27" s="150"/>
      <c r="B27" s="150"/>
      <c r="C27" s="150"/>
      <c r="D27" s="151"/>
      <c r="E27" s="150"/>
      <c r="F27" s="150"/>
      <c r="G27" s="150"/>
      <c r="H27" s="148"/>
      <c r="I27" s="148"/>
      <c r="J27" s="150"/>
      <c r="K27" s="150"/>
      <c r="L27" s="150"/>
      <c r="M27" s="151">
        <v>76.98</v>
      </c>
      <c r="N27" s="148" t="s">
        <v>142</v>
      </c>
      <c r="O27" s="140">
        <v>0</v>
      </c>
      <c r="P27" s="140">
        <v>0</v>
      </c>
      <c r="Q27" s="140">
        <v>0</v>
      </c>
      <c r="R27" s="140">
        <v>0</v>
      </c>
      <c r="S27" s="90">
        <f t="shared" si="61"/>
        <v>0</v>
      </c>
      <c r="T27" s="136"/>
      <c r="U27" s="141">
        <f t="shared" ref="U27" si="74">IF(K27=1,AB27,0)</f>
        <v>0</v>
      </c>
      <c r="V27" s="141">
        <f t="shared" ref="V27" si="75">IF(K27=1,AC27, AB27)</f>
        <v>0</v>
      </c>
      <c r="W27" s="141">
        <f t="shared" ref="W27" si="76">AD27</f>
        <v>0</v>
      </c>
      <c r="X27" s="141">
        <f t="shared" ref="X27" si="77">AE27</f>
        <v>0</v>
      </c>
      <c r="Y27" s="141">
        <f t="shared" ref="Y27" si="78">AF27</f>
        <v>0</v>
      </c>
      <c r="Z27" s="141">
        <f t="shared" ref="Z27" si="79">AG27</f>
        <v>0</v>
      </c>
      <c r="AA27" s="142"/>
      <c r="AB27" s="141">
        <f t="shared" ref="AB27" si="80">IF(J27&gt;=0,S27,0)</f>
        <v>0</v>
      </c>
      <c r="AC27" s="141">
        <f t="shared" ref="AC27" si="81">IF(J27&gt;=1,S27,0)</f>
        <v>0</v>
      </c>
      <c r="AD27" s="141">
        <f t="shared" ref="AD27" si="82">IF(J27&gt;1,AC27,0)*(1-R27)</f>
        <v>0</v>
      </c>
      <c r="AE27" s="141">
        <f t="shared" ref="AE27" si="83">IF(J27&gt;2,AD27,0)*(1-R27)</f>
        <v>0</v>
      </c>
      <c r="AF27" s="141">
        <f t="shared" ref="AF27" si="84">IF(J27&gt;3,AD27,0)*(1-R27)</f>
        <v>0</v>
      </c>
      <c r="AG27" s="141">
        <f t="shared" ref="AG27" si="85">IF(J27&gt;4,AF27,0)*(1-R27)</f>
        <v>0</v>
      </c>
      <c r="AH27" s="137"/>
      <c r="AI27" s="138"/>
      <c r="AJ27" s="138"/>
    </row>
    <row r="28" spans="1:36" s="139" customFormat="1" x14ac:dyDescent="0.2">
      <c r="A28" s="150"/>
      <c r="B28" s="150"/>
      <c r="C28" s="150"/>
      <c r="D28" s="151"/>
      <c r="E28" s="150"/>
      <c r="F28" s="150"/>
      <c r="G28" s="150"/>
      <c r="H28" s="148"/>
      <c r="I28" s="148"/>
      <c r="J28" s="150"/>
      <c r="K28" s="150"/>
      <c r="L28" s="150"/>
      <c r="M28" s="151">
        <f>20*2*(-350/8)</f>
        <v>-1750</v>
      </c>
      <c r="N28" s="148" t="s">
        <v>139</v>
      </c>
      <c r="O28" s="140">
        <v>0</v>
      </c>
      <c r="P28" s="140">
        <v>0</v>
      </c>
      <c r="Q28" s="140">
        <v>0</v>
      </c>
      <c r="R28" s="140">
        <v>0</v>
      </c>
      <c r="S28" s="90">
        <f t="shared" ref="S28" si="86">+I28*M28*(1-O28)*(1-P28)*(1-Q28)</f>
        <v>0</v>
      </c>
      <c r="T28" s="136"/>
      <c r="U28" s="141">
        <f t="shared" ref="U28" si="87">IF(K28=1,AB28,0)</f>
        <v>0</v>
      </c>
      <c r="V28" s="141">
        <f t="shared" ref="V28" si="88">IF(K28=1,AC28, AB28)</f>
        <v>0</v>
      </c>
      <c r="W28" s="141">
        <f t="shared" ref="W28" si="89">AD28</f>
        <v>0</v>
      </c>
      <c r="X28" s="141">
        <f t="shared" ref="X28" si="90">AE28</f>
        <v>0</v>
      </c>
      <c r="Y28" s="141">
        <f t="shared" ref="Y28" si="91">AF28</f>
        <v>0</v>
      </c>
      <c r="Z28" s="141">
        <f t="shared" ref="Z28" si="92">AG28</f>
        <v>0</v>
      </c>
      <c r="AA28" s="142"/>
      <c r="AB28" s="141">
        <f t="shared" ref="AB28" si="93">IF(J28&gt;=0,S28,0)</f>
        <v>0</v>
      </c>
      <c r="AC28" s="141">
        <f t="shared" ref="AC28" si="94">IF(J28&gt;=1,S28,0)</f>
        <v>0</v>
      </c>
      <c r="AD28" s="141">
        <f t="shared" ref="AD28" si="95">IF(J28&gt;1,AC28,0)*(1-R28)</f>
        <v>0</v>
      </c>
      <c r="AE28" s="141">
        <f t="shared" ref="AE28" si="96">IF(J28&gt;2,AD28,0)*(1-R28)</f>
        <v>0</v>
      </c>
      <c r="AF28" s="141">
        <f t="shared" ref="AF28" si="97">IF(J28&gt;3,AD28,0)*(1-R28)</f>
        <v>0</v>
      </c>
      <c r="AG28" s="141">
        <f t="shared" ref="AG28" si="98">IF(J28&gt;4,AF28,0)*(1-R28)</f>
        <v>0</v>
      </c>
      <c r="AH28" s="137"/>
      <c r="AI28" s="138"/>
      <c r="AJ28" s="138"/>
    </row>
    <row r="29" spans="1:36" s="2" customFormat="1" ht="16.149999999999999" customHeight="1" x14ac:dyDescent="0.2">
      <c r="A29" s="1" t="s">
        <v>97</v>
      </c>
      <c r="B29" s="1"/>
      <c r="C29" s="1"/>
      <c r="D29" s="1"/>
      <c r="E29" s="1"/>
      <c r="F29" s="1"/>
      <c r="G29" s="1"/>
      <c r="H29" s="1"/>
      <c r="I29" s="1"/>
      <c r="J29" s="1"/>
      <c r="K29" s="1"/>
      <c r="L29" s="1"/>
      <c r="M29" s="88"/>
      <c r="N29" s="130"/>
      <c r="O29" s="66">
        <v>0</v>
      </c>
      <c r="P29" s="66">
        <v>0</v>
      </c>
      <c r="Q29" s="66">
        <v>0</v>
      </c>
      <c r="R29" s="66">
        <v>0</v>
      </c>
      <c r="S29" s="90">
        <f t="shared" si="35"/>
        <v>0</v>
      </c>
      <c r="T29" s="91"/>
      <c r="U29" s="141">
        <f t="shared" si="36"/>
        <v>0</v>
      </c>
      <c r="V29" s="141">
        <f t="shared" si="37"/>
        <v>0</v>
      </c>
      <c r="W29" s="141">
        <f t="shared" si="38"/>
        <v>0</v>
      </c>
      <c r="X29" s="141">
        <f t="shared" si="39"/>
        <v>0</v>
      </c>
      <c r="Y29" s="141">
        <f t="shared" si="40"/>
        <v>0</v>
      </c>
      <c r="Z29" s="141">
        <f t="shared" si="41"/>
        <v>0</v>
      </c>
      <c r="AA29" s="142"/>
      <c r="AB29" s="141">
        <f t="shared" si="42"/>
        <v>0</v>
      </c>
      <c r="AC29" s="141">
        <f t="shared" si="43"/>
        <v>0</v>
      </c>
      <c r="AD29" s="141">
        <f t="shared" si="44"/>
        <v>0</v>
      </c>
      <c r="AE29" s="141">
        <f t="shared" si="45"/>
        <v>0</v>
      </c>
      <c r="AF29" s="141">
        <f t="shared" si="48"/>
        <v>0</v>
      </c>
      <c r="AG29" s="141">
        <f t="shared" si="47"/>
        <v>0</v>
      </c>
      <c r="AH29" s="44"/>
      <c r="AI29" s="45"/>
      <c r="AJ29" s="45"/>
    </row>
    <row r="30" spans="1:36" x14ac:dyDescent="0.2">
      <c r="A30" s="1"/>
      <c r="B30" s="1"/>
      <c r="C30" s="1"/>
      <c r="D30" s="88"/>
      <c r="E30" s="1"/>
      <c r="F30" s="1"/>
      <c r="G30" s="1"/>
      <c r="O30" s="67"/>
      <c r="P30" s="67"/>
      <c r="Q30" s="67"/>
      <c r="R30" s="67"/>
      <c r="S30" s="92"/>
      <c r="T30" s="93"/>
      <c r="U30" s="166"/>
      <c r="V30" s="166"/>
      <c r="W30" s="166"/>
      <c r="X30" s="166"/>
      <c r="Y30" s="166"/>
      <c r="Z30" s="166"/>
      <c r="AA30" s="166"/>
      <c r="AB30" s="166"/>
      <c r="AC30" s="166"/>
      <c r="AD30" s="166"/>
      <c r="AE30" s="166"/>
      <c r="AF30" s="166"/>
      <c r="AG30" s="166"/>
    </row>
    <row r="31" spans="1:36" ht="15.75" x14ac:dyDescent="0.25">
      <c r="A31" s="1"/>
      <c r="B31" s="1"/>
      <c r="C31" s="1"/>
      <c r="D31" s="88"/>
      <c r="E31" s="1"/>
      <c r="F31" s="1"/>
      <c r="O31" s="67"/>
      <c r="P31" s="67"/>
      <c r="Q31" s="67"/>
      <c r="R31" s="82" t="s">
        <v>7</v>
      </c>
      <c r="S31" s="89">
        <f>SUM(S9:S29)</f>
        <v>25170075</v>
      </c>
      <c r="T31" s="93"/>
      <c r="U31" s="167">
        <f t="shared" ref="U31:Z31" si="99">SUM(U9:U29)</f>
        <v>0</v>
      </c>
      <c r="V31" s="167">
        <f t="shared" si="99"/>
        <v>25170075</v>
      </c>
      <c r="W31" s="167">
        <f t="shared" si="99"/>
        <v>20461707.5</v>
      </c>
      <c r="X31" s="167">
        <f t="shared" si="99"/>
        <v>14843286.75</v>
      </c>
      <c r="Y31" s="167">
        <f t="shared" si="99"/>
        <v>288067.67499999999</v>
      </c>
      <c r="Z31" s="167">
        <f t="shared" si="99"/>
        <v>253982.58749999999</v>
      </c>
      <c r="AA31" s="166"/>
      <c r="AB31" s="166"/>
      <c r="AC31" s="166"/>
      <c r="AD31" s="166"/>
      <c r="AE31" s="166"/>
      <c r="AF31" s="166"/>
      <c r="AG31" s="166"/>
    </row>
    <row r="32" spans="1:36" x14ac:dyDescent="0.2">
      <c r="T32" s="75"/>
      <c r="U32" s="168"/>
      <c r="V32" s="168"/>
      <c r="W32" s="168"/>
      <c r="X32" s="168"/>
      <c r="Y32" s="168"/>
      <c r="Z32" s="169"/>
      <c r="AA32" s="146"/>
      <c r="AB32" s="168"/>
      <c r="AC32" s="168"/>
      <c r="AD32" s="168"/>
      <c r="AE32" s="168"/>
      <c r="AF32" s="168"/>
      <c r="AG32" s="169"/>
    </row>
    <row r="33" spans="1:33" ht="19.899999999999999" customHeight="1" x14ac:dyDescent="0.25">
      <c r="A33" s="82" t="s">
        <v>7</v>
      </c>
      <c r="D33" s="89">
        <f>SUM(D9:D31)</f>
        <v>554500</v>
      </c>
      <c r="R33" s="83" t="s">
        <v>8</v>
      </c>
      <c r="S33" s="78"/>
      <c r="T33" s="80"/>
      <c r="U33" s="167">
        <f>+U31</f>
        <v>0</v>
      </c>
      <c r="V33" s="167">
        <f>+V31/(1+W7)</f>
        <v>23932751.735285725</v>
      </c>
      <c r="W33" s="167">
        <f>+W31/((1+W7)*(1+W7))</f>
        <v>18499420.50383316</v>
      </c>
      <c r="X33" s="167">
        <f>+X31/((1+W7)*(1+W7)*(1+W7))</f>
        <v>12760111.098979717</v>
      </c>
      <c r="Y33" s="167">
        <f>+Y31/((1+W7)*(1+W7)*(1+W7)*(1+W7))</f>
        <v>235465.3632148052</v>
      </c>
      <c r="Z33" s="167">
        <f>+Z31/((1+W7)*(1+W7)*(1+W7)*(1+W7)*(1+W7))</f>
        <v>197398.82977687666</v>
      </c>
      <c r="AA33" s="170"/>
      <c r="AB33" s="166"/>
      <c r="AC33" s="166"/>
      <c r="AD33" s="166"/>
      <c r="AE33" s="166"/>
      <c r="AF33" s="166"/>
      <c r="AG33" s="166"/>
    </row>
    <row r="34" spans="1:33" ht="19.899999999999999" customHeight="1" x14ac:dyDescent="0.2">
      <c r="R34" s="84" t="s">
        <v>9</v>
      </c>
      <c r="S34" s="77"/>
      <c r="T34" s="79"/>
      <c r="U34" s="171"/>
      <c r="V34" s="172"/>
      <c r="W34" s="172"/>
      <c r="X34" s="172"/>
      <c r="Y34" s="173"/>
      <c r="Z34" s="167">
        <f>SUM(U33:Z33)</f>
        <v>55625147.531090289</v>
      </c>
      <c r="AA34" s="146"/>
      <c r="AB34" s="166"/>
      <c r="AC34" s="166"/>
      <c r="AD34" s="166"/>
      <c r="AE34" s="166"/>
      <c r="AF34" s="166"/>
      <c r="AG34" s="166"/>
    </row>
    <row r="35" spans="1:33" ht="19.899999999999999" customHeight="1" x14ac:dyDescent="0.2">
      <c r="R35" s="85" t="s">
        <v>51</v>
      </c>
      <c r="S35" s="79"/>
      <c r="T35" s="3"/>
      <c r="U35" s="174"/>
      <c r="V35" s="166"/>
      <c r="W35" s="166"/>
      <c r="X35" s="166"/>
      <c r="Y35" s="166"/>
      <c r="Z35" s="175">
        <f>+Z34-D33</f>
        <v>55070647.531090289</v>
      </c>
      <c r="AA35" s="146"/>
      <c r="AB35" s="166"/>
      <c r="AC35" s="166"/>
      <c r="AD35" s="166"/>
      <c r="AE35" s="166"/>
      <c r="AF35" s="166"/>
      <c r="AG35" s="176"/>
    </row>
    <row r="36" spans="1:33" ht="19.899999999999999" customHeight="1" x14ac:dyDescent="0.2">
      <c r="R36" s="86" t="s">
        <v>52</v>
      </c>
      <c r="S36" s="77"/>
      <c r="T36" s="3"/>
      <c r="U36" s="177"/>
      <c r="V36" s="172"/>
      <c r="W36" s="172"/>
      <c r="X36" s="172"/>
      <c r="Y36" s="173"/>
      <c r="Z36" s="178"/>
      <c r="AA36" s="146"/>
      <c r="AB36" s="166"/>
      <c r="AC36" s="166"/>
      <c r="AD36" s="166"/>
      <c r="AE36" s="166"/>
      <c r="AF36" s="166"/>
      <c r="AG36" s="176"/>
    </row>
    <row r="37" spans="1:33" ht="19.899999999999999" customHeight="1" x14ac:dyDescent="0.2">
      <c r="R37" s="85" t="s">
        <v>53</v>
      </c>
      <c r="S37" s="79"/>
      <c r="T37" s="3"/>
      <c r="U37" s="170"/>
      <c r="V37" s="146"/>
      <c r="W37" s="146"/>
      <c r="X37" s="146"/>
      <c r="Y37" s="146"/>
      <c r="Z37" s="175">
        <f>+Z34/D33</f>
        <v>100.31586570079403</v>
      </c>
      <c r="AA37" s="146"/>
      <c r="AB37" s="146"/>
      <c r="AC37" s="146"/>
      <c r="AD37" s="146"/>
      <c r="AE37" s="146"/>
      <c r="AF37" s="146"/>
      <c r="AG37" s="176"/>
    </row>
    <row r="38" spans="1:33" ht="19.899999999999999" customHeight="1" x14ac:dyDescent="0.2">
      <c r="R38" s="87" t="s">
        <v>92</v>
      </c>
      <c r="S38" s="77"/>
      <c r="T38" s="80"/>
      <c r="U38" s="179"/>
      <c r="V38" s="180"/>
      <c r="W38" s="180"/>
      <c r="X38" s="180"/>
      <c r="Y38" s="180"/>
      <c r="Z38" s="181"/>
      <c r="AA38" s="170"/>
      <c r="AB38" s="146"/>
      <c r="AC38" s="146"/>
      <c r="AD38" s="146"/>
      <c r="AE38" s="146"/>
      <c r="AF38" s="146"/>
      <c r="AG38" s="146"/>
    </row>
    <row r="39" spans="1:33" x14ac:dyDescent="0.2">
      <c r="T39" s="76"/>
    </row>
    <row r="41" spans="1:33" x14ac:dyDescent="0.2">
      <c r="AC41" s="74"/>
      <c r="AD41" s="74"/>
      <c r="AE41" s="74"/>
      <c r="AF41" s="74"/>
    </row>
    <row r="42" spans="1:33" x14ac:dyDescent="0.2">
      <c r="AC42" s="74"/>
      <c r="AD42" s="74"/>
      <c r="AE42" s="74"/>
      <c r="AF42" s="74"/>
    </row>
    <row r="43" spans="1:33" x14ac:dyDescent="0.2">
      <c r="AC43" s="74"/>
      <c r="AD43" s="74"/>
      <c r="AE43" s="74"/>
      <c r="AF43" s="74"/>
    </row>
    <row r="44" spans="1:33" x14ac:dyDescent="0.2">
      <c r="AB44" s="4"/>
      <c r="AC44" s="4"/>
      <c r="AD44" s="4"/>
      <c r="AE44" s="4"/>
      <c r="AF44" s="4"/>
    </row>
  </sheetData>
  <mergeCells count="12">
    <mergeCell ref="P7:P8"/>
    <mergeCell ref="O7:O8"/>
    <mergeCell ref="O5:P5"/>
    <mergeCell ref="AB7:AC7"/>
    <mergeCell ref="S7:S8"/>
    <mergeCell ref="AB6:AG6"/>
    <mergeCell ref="AF7:AG7"/>
    <mergeCell ref="R7:R8"/>
    <mergeCell ref="Q7:Q8"/>
    <mergeCell ref="U6:Z6"/>
    <mergeCell ref="U7:V7"/>
    <mergeCell ref="Y7:Z7"/>
  </mergeCells>
  <phoneticPr fontId="0" type="noConversion"/>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A1935-4532-442B-A4F5-EACDE4D5FC1E}">
  <dimension ref="F3:O25"/>
  <sheetViews>
    <sheetView workbookViewId="0">
      <selection activeCell="N20" sqref="N20:N25"/>
    </sheetView>
  </sheetViews>
  <sheetFormatPr defaultColWidth="8.7109375" defaultRowHeight="12.75" x14ac:dyDescent="0.2"/>
  <cols>
    <col min="6" max="6" width="15.140625" customWidth="1"/>
    <col min="7" max="7" width="15.42578125" customWidth="1"/>
    <col min="8" max="8" width="16.42578125" customWidth="1"/>
    <col min="9" max="9" width="15.140625" customWidth="1"/>
    <col min="10" max="10" width="20.140625" customWidth="1"/>
    <col min="11" max="11" width="17.28515625" customWidth="1"/>
  </cols>
  <sheetData>
    <row r="3" spans="10:15" ht="25.5" x14ac:dyDescent="0.2">
      <c r="J3" s="90" t="e">
        <f t="shared" ref="J3" si="0">IF(#REF!=1,Q3,0)</f>
        <v>#REF!</v>
      </c>
      <c r="K3" s="90" t="e">
        <f t="shared" ref="K3" si="1">IF(#REF!=1,R3, Q3)</f>
        <v>#REF!</v>
      </c>
      <c r="L3" s="90">
        <f t="shared" ref="L3:O8" si="2">S3</f>
        <v>0</v>
      </c>
      <c r="M3" s="90">
        <f t="shared" si="2"/>
        <v>0</v>
      </c>
      <c r="N3" s="90">
        <f t="shared" si="2"/>
        <v>0</v>
      </c>
      <c r="O3" s="90">
        <f t="shared" si="2"/>
        <v>0</v>
      </c>
    </row>
    <row r="4" spans="10:15" ht="25.5" x14ac:dyDescent="0.2">
      <c r="J4" s="90" t="e">
        <f t="shared" ref="J4:J8" si="3">IF(#REF!=1,Q4,0)</f>
        <v>#REF!</v>
      </c>
      <c r="K4" s="90" t="e">
        <f t="shared" ref="K4:K8" si="4">IF(#REF!=1,R4, Q4)</f>
        <v>#REF!</v>
      </c>
      <c r="L4" s="90">
        <f t="shared" si="2"/>
        <v>0</v>
      </c>
      <c r="M4" s="90">
        <f t="shared" si="2"/>
        <v>0</v>
      </c>
      <c r="N4" s="90">
        <f t="shared" si="2"/>
        <v>0</v>
      </c>
      <c r="O4" s="90">
        <f t="shared" si="2"/>
        <v>0</v>
      </c>
    </row>
    <row r="5" spans="10:15" ht="25.5" x14ac:dyDescent="0.2">
      <c r="J5" s="90" t="e">
        <f t="shared" ref="J5:J8" si="5">IF(#REF!=1,Q5,0)</f>
        <v>#REF!</v>
      </c>
      <c r="K5" s="90" t="e">
        <f t="shared" ref="K5:K8" si="6">IF(#REF!=1,R5, Q5)</f>
        <v>#REF!</v>
      </c>
      <c r="L5" s="90">
        <f t="shared" si="2"/>
        <v>0</v>
      </c>
      <c r="M5" s="90">
        <f t="shared" si="2"/>
        <v>0</v>
      </c>
      <c r="N5" s="90">
        <f t="shared" si="2"/>
        <v>0</v>
      </c>
      <c r="O5" s="90">
        <f t="shared" si="2"/>
        <v>0</v>
      </c>
    </row>
    <row r="6" spans="10:15" ht="25.5" x14ac:dyDescent="0.2">
      <c r="J6" s="90" t="e">
        <f t="shared" ref="J6:J8" si="7">IF(#REF!=1,Q6,0)</f>
        <v>#REF!</v>
      </c>
      <c r="K6" s="90" t="e">
        <f t="shared" ref="K6:K8" si="8">IF(#REF!=1,R6, Q6)</f>
        <v>#REF!</v>
      </c>
      <c r="L6" s="90">
        <f t="shared" si="2"/>
        <v>0</v>
      </c>
      <c r="M6" s="90">
        <f t="shared" si="2"/>
        <v>0</v>
      </c>
      <c r="N6" s="90">
        <f t="shared" si="2"/>
        <v>0</v>
      </c>
      <c r="O6" s="90">
        <f t="shared" si="2"/>
        <v>0</v>
      </c>
    </row>
    <row r="7" spans="10:15" ht="25.5" x14ac:dyDescent="0.2">
      <c r="J7" s="90" t="e">
        <f t="shared" ref="J7:J8" si="9">IF(#REF!=1,Q7,0)</f>
        <v>#REF!</v>
      </c>
      <c r="K7" s="90" t="e">
        <f t="shared" ref="K7:K8" si="10">IF(#REF!=1,R7, Q7)</f>
        <v>#REF!</v>
      </c>
      <c r="L7" s="90">
        <f t="shared" si="2"/>
        <v>0</v>
      </c>
      <c r="M7" s="90">
        <f t="shared" si="2"/>
        <v>0</v>
      </c>
      <c r="N7" s="90">
        <f t="shared" si="2"/>
        <v>0</v>
      </c>
      <c r="O7" s="90">
        <f t="shared" si="2"/>
        <v>0</v>
      </c>
    </row>
    <row r="8" spans="10:15" ht="25.5" x14ac:dyDescent="0.2">
      <c r="J8" s="90" t="e">
        <f t="shared" ref="J8" si="11">IF(#REF!=1,Q8,0)</f>
        <v>#REF!</v>
      </c>
      <c r="K8" s="90" t="e">
        <f t="shared" ref="K8" si="12">IF(#REF!=1,R8, Q8)</f>
        <v>#REF!</v>
      </c>
      <c r="L8" s="90">
        <f t="shared" si="2"/>
        <v>0</v>
      </c>
      <c r="M8" s="90">
        <f t="shared" si="2"/>
        <v>0</v>
      </c>
      <c r="N8" s="90">
        <f t="shared" si="2"/>
        <v>0</v>
      </c>
      <c r="O8" s="90">
        <f t="shared" si="2"/>
        <v>0</v>
      </c>
    </row>
    <row r="19" spans="6:14" ht="13.5" thickBot="1" x14ac:dyDescent="0.25"/>
    <row r="20" spans="6:14" ht="26.25" thickBot="1" x14ac:dyDescent="0.25">
      <c r="F20" s="248">
        <v>0</v>
      </c>
      <c r="G20" s="249">
        <v>1805000</v>
      </c>
      <c r="H20" s="249">
        <v>1714750</v>
      </c>
      <c r="I20" s="250">
        <v>0</v>
      </c>
      <c r="J20" s="250">
        <v>0</v>
      </c>
      <c r="K20" s="250">
        <v>0</v>
      </c>
      <c r="N20">
        <f>SUM(F20:M20)</f>
        <v>3519750</v>
      </c>
    </row>
    <row r="21" spans="6:14" ht="26.25" thickBot="1" x14ac:dyDescent="0.25">
      <c r="F21" s="251">
        <v>0</v>
      </c>
      <c r="G21" s="252">
        <v>252700</v>
      </c>
      <c r="H21" s="252">
        <v>227430</v>
      </c>
      <c r="I21" s="253">
        <v>0</v>
      </c>
      <c r="J21" s="253">
        <v>0</v>
      </c>
      <c r="K21" s="253">
        <v>0</v>
      </c>
      <c r="N21">
        <f>SUM(F21:M21)</f>
        <v>480130</v>
      </c>
    </row>
    <row r="22" spans="6:14" ht="26.25" thickBot="1" x14ac:dyDescent="0.25">
      <c r="F22" s="251">
        <v>0</v>
      </c>
      <c r="G22" s="252">
        <v>36100</v>
      </c>
      <c r="H22" s="252">
        <v>28880</v>
      </c>
      <c r="I22" s="252">
        <v>23104</v>
      </c>
      <c r="J22" s="252">
        <v>18483.2</v>
      </c>
      <c r="K22" s="252">
        <v>14786.56</v>
      </c>
      <c r="N22">
        <f>SUM(F22:M22)</f>
        <v>121353.76</v>
      </c>
    </row>
    <row r="23" spans="6:14" ht="26.25" thickBot="1" x14ac:dyDescent="0.25">
      <c r="F23" s="251">
        <v>0</v>
      </c>
      <c r="G23" s="252">
        <v>22680000</v>
      </c>
      <c r="H23" s="252">
        <v>18144000</v>
      </c>
      <c r="I23" s="252">
        <v>14515200</v>
      </c>
      <c r="J23" s="253">
        <v>0</v>
      </c>
      <c r="K23" s="253">
        <v>0</v>
      </c>
      <c r="N23">
        <f>SUM(F23:M23)</f>
        <v>55339200</v>
      </c>
    </row>
    <row r="24" spans="6:14" ht="26.25" thickBot="1" x14ac:dyDescent="0.25">
      <c r="F24" s="251">
        <v>0</v>
      </c>
      <c r="G24" s="252">
        <v>346275</v>
      </c>
      <c r="H24" s="252">
        <v>311647.5</v>
      </c>
      <c r="I24" s="252">
        <v>280482.75</v>
      </c>
      <c r="J24" s="252">
        <v>252434.48</v>
      </c>
      <c r="K24" s="252">
        <v>227191.03</v>
      </c>
      <c r="N24">
        <f>SUM(F24:M24)</f>
        <v>1418030.76</v>
      </c>
    </row>
    <row r="25" spans="6:14" ht="26.25" thickBot="1" x14ac:dyDescent="0.25">
      <c r="F25" s="251">
        <v>0</v>
      </c>
      <c r="G25" s="252">
        <v>50000</v>
      </c>
      <c r="H25" s="252">
        <v>35000</v>
      </c>
      <c r="I25" s="252">
        <v>24500</v>
      </c>
      <c r="J25" s="252">
        <v>17150</v>
      </c>
      <c r="K25" s="252">
        <v>12005</v>
      </c>
      <c r="N25">
        <f>SUM(F25:M25)</f>
        <v>138655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5</vt:i4>
      </vt:variant>
    </vt:vector>
  </HeadingPairs>
  <TitlesOfParts>
    <vt:vector size="5" baseType="lpstr">
      <vt:lpstr>guidance</vt:lpstr>
      <vt:lpstr>scope</vt:lpstr>
      <vt:lpstr>SM</vt:lpstr>
      <vt:lpstr>impact map</vt:lpstr>
      <vt:lpstr>Sheet1</vt:lpstr>
    </vt:vector>
  </TitlesOfParts>
  <Company>betamodel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Nicholls</dc:creator>
  <cp:lastModifiedBy>okama chakae</cp:lastModifiedBy>
  <cp:lastPrinted>2023-06-27T09:00:48Z</cp:lastPrinted>
  <dcterms:created xsi:type="dcterms:W3CDTF">2008-09-14T13:53:09Z</dcterms:created>
  <dcterms:modified xsi:type="dcterms:W3CDTF">2025-05-23T07:03:42Z</dcterms:modified>
</cp:coreProperties>
</file>